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/>
  <mc:AlternateContent xmlns:mc="http://schemas.openxmlformats.org/markup-compatibility/2006">
    <mc:Choice Requires="x15">
      <x15ac:absPath xmlns:x15ac="http://schemas.microsoft.com/office/spreadsheetml/2010/11/ac" url="C:\Users\gpp002\OneDrive\PROJETOS\042.2023 - Centro de produção, reservação e distribuição CEDRINHO\Doc's LICITAÇÂO (03.05.24)\ANEXO VIII\"/>
    </mc:Choice>
  </mc:AlternateContent>
  <bookViews>
    <workbookView xWindow="0" yWindow="0" windowWidth="28800" windowHeight="12435" tabRatio="490"/>
  </bookViews>
  <sheets>
    <sheet name="ITEM 2 - Orçamento" sheetId="1" r:id="rId1"/>
    <sheet name="ITEM 2 - BDI" sheetId="13" r:id="rId2"/>
  </sheets>
  <externalReferences>
    <externalReference r:id="rId3"/>
    <externalReference r:id="rId4"/>
  </externalReferences>
  <definedNames>
    <definedName name="AC">#REF!</definedName>
    <definedName name="_xlnm.Print_Area" localSheetId="1">'ITEM 2 - BDI'!$A$1:$H$57</definedName>
    <definedName name="_xlnm.Print_Area" localSheetId="0">'ITEM 2 - Orçamento'!$A$1:$K$419</definedName>
    <definedName name="BDI.Opcao" hidden="1">[1]DADOS!$F$18</definedName>
    <definedName name="BDI.TipoObra" hidden="1">[1]BDI!$A$138:$A$146</definedName>
    <definedName name="CPU">#REF!</definedName>
    <definedName name="DESONERACAO" hidden="1">IF(OR(Import.Desoneracao="DESONERADO",Import.Desoneracao="SIM"),"SIM","NÃO")</definedName>
    <definedName name="DF">#REF!</definedName>
    <definedName name="HTML_CodePage">437</definedName>
    <definedName name="HTML_Control">{"'Armação'!$A$1:$A$2"}</definedName>
    <definedName name="HTML_Description">""</definedName>
    <definedName name="HTML_Email">""</definedName>
    <definedName name="HTML_Header">"Armação"</definedName>
    <definedName name="HTML_LastUpdate">"21/03/98"</definedName>
    <definedName name="HTML_LineAfter">0</definedName>
    <definedName name="HTML_LineBefore">0</definedName>
    <definedName name="HTML_Name">"Gustavo"</definedName>
    <definedName name="HTML_OBDlg2">1</definedName>
    <definedName name="HTML_OBDlg4">1</definedName>
    <definedName name="HTML_OS">0</definedName>
    <definedName name="HTML_PathFile">"C:\Meus Documentos\MeuHTML.htm"</definedName>
    <definedName name="HTML_Title">"Modêlo Tabela de Armação"</definedName>
    <definedName name="Import.Desoneracao" hidden="1">OFFSET([1]DADOS!$G$18,0,-1)</definedName>
    <definedName name="LUCRO">#REF!</definedName>
    <definedName name="PO">'ITEM 2 - Orçamento'!$A$10:$K$413</definedName>
    <definedName name="RISCO">#REF!</definedName>
    <definedName name="SG">#REF!</definedName>
    <definedName name="TIP_OBRA">#REF!</definedName>
    <definedName name="_xlnm.Print_Titles" localSheetId="0">'ITEM 2 - Orçamento'!$9:$9</definedName>
    <definedName name="VALOR_BDI">#REF!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7" i="13" l="1"/>
  <c r="G7" i="13"/>
  <c r="A7" i="13"/>
  <c r="A4" i="13"/>
  <c r="A56" i="13"/>
  <c r="D45" i="13" l="1"/>
  <c r="D26" i="13"/>
  <c r="D29" i="13" s="1"/>
  <c r="D28" i="13" l="1"/>
  <c r="A30" i="13" l="1"/>
  <c r="I247" i="1"/>
  <c r="I352" i="1"/>
  <c r="I248" i="1"/>
  <c r="I244" i="1"/>
  <c r="I243" i="1"/>
  <c r="I119" i="1"/>
  <c r="I216" i="1"/>
  <c r="I245" i="1" l="1"/>
  <c r="I351" i="1"/>
  <c r="J351" i="1" s="1"/>
  <c r="I242" i="1"/>
  <c r="I246" i="1"/>
  <c r="J246" i="1" s="1"/>
  <c r="J352" i="1"/>
  <c r="J243" i="1"/>
  <c r="J244" i="1"/>
  <c r="J248" i="1"/>
  <c r="J247" i="1"/>
  <c r="J119" i="1"/>
  <c r="I56" i="1"/>
  <c r="I55" i="1"/>
  <c r="J242" i="1" l="1"/>
  <c r="J245" i="1"/>
  <c r="J55" i="1"/>
  <c r="I407" i="1"/>
  <c r="D407" i="1"/>
  <c r="D404" i="1"/>
  <c r="I406" i="1"/>
  <c r="I385" i="1"/>
  <c r="I408" i="1"/>
  <c r="I402" i="1"/>
  <c r="D402" i="1"/>
  <c r="I401" i="1"/>
  <c r="I400" i="1"/>
  <c r="I379" i="1"/>
  <c r="I378" i="1"/>
  <c r="I327" i="1"/>
  <c r="I326" i="1"/>
  <c r="I328" i="1"/>
  <c r="D328" i="1"/>
  <c r="I329" i="1"/>
  <c r="I325" i="1"/>
  <c r="I321" i="1"/>
  <c r="I320" i="1"/>
  <c r="I319" i="1"/>
  <c r="I324" i="1"/>
  <c r="I323" i="1"/>
  <c r="I322" i="1"/>
  <c r="I398" i="1"/>
  <c r="D398" i="1"/>
  <c r="I397" i="1"/>
  <c r="I396" i="1"/>
  <c r="I405" i="1"/>
  <c r="I404" i="1"/>
  <c r="I390" i="1"/>
  <c r="I394" i="1"/>
  <c r="D394" i="1"/>
  <c r="I393" i="1"/>
  <c r="D393" i="1"/>
  <c r="I392" i="1"/>
  <c r="D392" i="1"/>
  <c r="I391" i="1"/>
  <c r="D391" i="1"/>
  <c r="I389" i="1"/>
  <c r="I313" i="1"/>
  <c r="I382" i="1"/>
  <c r="I381" i="1"/>
  <c r="I380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88" i="1"/>
  <c r="I387" i="1"/>
  <c r="I386" i="1"/>
  <c r="I384" i="1"/>
  <c r="I383" i="1"/>
  <c r="I364" i="1"/>
  <c r="I363" i="1"/>
  <c r="I362" i="1"/>
  <c r="I361" i="1"/>
  <c r="I360" i="1"/>
  <c r="I359" i="1"/>
  <c r="I358" i="1"/>
  <c r="I357" i="1"/>
  <c r="I356" i="1"/>
  <c r="I355" i="1"/>
  <c r="J385" i="1" l="1"/>
  <c r="J404" i="1"/>
  <c r="J402" i="1"/>
  <c r="J400" i="1"/>
  <c r="J407" i="1"/>
  <c r="J406" i="1"/>
  <c r="J408" i="1"/>
  <c r="J398" i="1"/>
  <c r="J397" i="1"/>
  <c r="J401" i="1"/>
  <c r="J390" i="1"/>
  <c r="J378" i="1"/>
  <c r="J379" i="1"/>
  <c r="J321" i="1"/>
  <c r="J326" i="1"/>
  <c r="J322" i="1"/>
  <c r="J320" i="1"/>
  <c r="J328" i="1"/>
  <c r="J329" i="1"/>
  <c r="J325" i="1"/>
  <c r="J319" i="1"/>
  <c r="J396" i="1"/>
  <c r="J327" i="1"/>
  <c r="J324" i="1"/>
  <c r="J323" i="1"/>
  <c r="J371" i="1"/>
  <c r="J391" i="1"/>
  <c r="J394" i="1"/>
  <c r="J393" i="1"/>
  <c r="J392" i="1"/>
  <c r="J405" i="1"/>
  <c r="J387" i="1"/>
  <c r="J386" i="1"/>
  <c r="J384" i="1"/>
  <c r="J383" i="1"/>
  <c r="J382" i="1"/>
  <c r="J381" i="1"/>
  <c r="J363" i="1"/>
  <c r="J388" i="1"/>
  <c r="J389" i="1"/>
  <c r="J374" i="1"/>
  <c r="J380" i="1"/>
  <c r="J359" i="1"/>
  <c r="J360" i="1"/>
  <c r="J377" i="1"/>
  <c r="J376" i="1"/>
  <c r="J375" i="1"/>
  <c r="J373" i="1"/>
  <c r="J372" i="1"/>
  <c r="J370" i="1"/>
  <c r="J369" i="1"/>
  <c r="J368" i="1"/>
  <c r="J367" i="1"/>
  <c r="J366" i="1"/>
  <c r="J365" i="1"/>
  <c r="J364" i="1"/>
  <c r="J362" i="1"/>
  <c r="J361" i="1"/>
  <c r="J313" i="1"/>
  <c r="J358" i="1"/>
  <c r="J357" i="1"/>
  <c r="J356" i="1"/>
  <c r="J355" i="1"/>
  <c r="I315" i="1"/>
  <c r="I314" i="1"/>
  <c r="I277" i="1"/>
  <c r="I310" i="1"/>
  <c r="I312" i="1"/>
  <c r="D312" i="1"/>
  <c r="I311" i="1"/>
  <c r="D311" i="1"/>
  <c r="I309" i="1"/>
  <c r="I308" i="1"/>
  <c r="I307" i="1"/>
  <c r="I317" i="1"/>
  <c r="I306" i="1"/>
  <c r="I305" i="1"/>
  <c r="I299" i="1"/>
  <c r="I298" i="1"/>
  <c r="I297" i="1"/>
  <c r="I296" i="1"/>
  <c r="I295" i="1"/>
  <c r="I294" i="1"/>
  <c r="I293" i="1"/>
  <c r="I292" i="1"/>
  <c r="I291" i="1"/>
  <c r="I290" i="1"/>
  <c r="I304" i="1"/>
  <c r="I303" i="1"/>
  <c r="I302" i="1"/>
  <c r="I301" i="1"/>
  <c r="I300" i="1"/>
  <c r="I289" i="1"/>
  <c r="I288" i="1"/>
  <c r="I287" i="1"/>
  <c r="I286" i="1"/>
  <c r="I285" i="1"/>
  <c r="I284" i="1"/>
  <c r="I281" i="1"/>
  <c r="I280" i="1"/>
  <c r="I272" i="1"/>
  <c r="I273" i="1"/>
  <c r="I274" i="1"/>
  <c r="I271" i="1"/>
  <c r="I270" i="1"/>
  <c r="I278" i="1"/>
  <c r="I276" i="1"/>
  <c r="D278" i="1"/>
  <c r="I279" i="1"/>
  <c r="D279" i="1"/>
  <c r="I275" i="1"/>
  <c r="I269" i="1"/>
  <c r="I268" i="1"/>
  <c r="I265" i="1"/>
  <c r="I264" i="1"/>
  <c r="I263" i="1"/>
  <c r="I262" i="1"/>
  <c r="I261" i="1"/>
  <c r="I260" i="1"/>
  <c r="I259" i="1"/>
  <c r="I258" i="1"/>
  <c r="I257" i="1"/>
  <c r="I255" i="1"/>
  <c r="I267" i="1"/>
  <c r="I266" i="1"/>
  <c r="I256" i="1"/>
  <c r="I189" i="1"/>
  <c r="I188" i="1"/>
  <c r="I185" i="1"/>
  <c r="I167" i="1"/>
  <c r="J314" i="1" l="1"/>
  <c r="J315" i="1"/>
  <c r="J295" i="1"/>
  <c r="J292" i="1"/>
  <c r="J294" i="1"/>
  <c r="J301" i="1"/>
  <c r="J279" i="1"/>
  <c r="J311" i="1"/>
  <c r="J312" i="1"/>
  <c r="J284" i="1"/>
  <c r="J290" i="1"/>
  <c r="J307" i="1"/>
  <c r="J317" i="1"/>
  <c r="J310" i="1"/>
  <c r="J308" i="1"/>
  <c r="J306" i="1"/>
  <c r="J309" i="1"/>
  <c r="J305" i="1"/>
  <c r="J304" i="1"/>
  <c r="J303" i="1"/>
  <c r="J302" i="1"/>
  <c r="J300" i="1"/>
  <c r="J299" i="1"/>
  <c r="J298" i="1"/>
  <c r="J297" i="1"/>
  <c r="J296" i="1"/>
  <c r="J293" i="1"/>
  <c r="J291" i="1"/>
  <c r="J289" i="1"/>
  <c r="J287" i="1"/>
  <c r="J288" i="1"/>
  <c r="J286" i="1"/>
  <c r="J285" i="1"/>
  <c r="J280" i="1"/>
  <c r="J281" i="1"/>
  <c r="J272" i="1"/>
  <c r="J273" i="1"/>
  <c r="J274" i="1"/>
  <c r="J271" i="1"/>
  <c r="J270" i="1"/>
  <c r="J277" i="1"/>
  <c r="J276" i="1"/>
  <c r="J268" i="1"/>
  <c r="J265" i="1"/>
  <c r="J263" i="1"/>
  <c r="J262" i="1"/>
  <c r="J264" i="1"/>
  <c r="J275" i="1"/>
  <c r="J261" i="1"/>
  <c r="J269" i="1"/>
  <c r="J278" i="1"/>
  <c r="J259" i="1"/>
  <c r="J258" i="1"/>
  <c r="J260" i="1"/>
  <c r="J266" i="1"/>
  <c r="J267" i="1"/>
  <c r="J255" i="1"/>
  <c r="J257" i="1"/>
  <c r="J256" i="1"/>
  <c r="J189" i="1"/>
  <c r="J188" i="1"/>
  <c r="J185" i="1"/>
  <c r="J167" i="1"/>
  <c r="I137" i="1"/>
  <c r="I106" i="1"/>
  <c r="I107" i="1"/>
  <c r="I125" i="1"/>
  <c r="I105" i="1"/>
  <c r="I90" i="1"/>
  <c r="I89" i="1"/>
  <c r="I88" i="1"/>
  <c r="I73" i="1"/>
  <c r="I77" i="1"/>
  <c r="I79" i="1"/>
  <c r="D79" i="1"/>
  <c r="I78" i="1"/>
  <c r="I76" i="1"/>
  <c r="I75" i="1"/>
  <c r="I337" i="1"/>
  <c r="D337" i="1"/>
  <c r="I336" i="1"/>
  <c r="I335" i="1"/>
  <c r="I74" i="1"/>
  <c r="I72" i="1"/>
  <c r="I82" i="1"/>
  <c r="J73" i="1" l="1"/>
  <c r="J137" i="1"/>
  <c r="J106" i="1"/>
  <c r="J107" i="1"/>
  <c r="J125" i="1"/>
  <c r="J105" i="1"/>
  <c r="J89" i="1"/>
  <c r="J88" i="1"/>
  <c r="J90" i="1"/>
  <c r="J337" i="1"/>
  <c r="J336" i="1"/>
  <c r="J77" i="1"/>
  <c r="J76" i="1"/>
  <c r="J79" i="1"/>
  <c r="J78" i="1"/>
  <c r="J72" i="1"/>
  <c r="J75" i="1"/>
  <c r="J74" i="1"/>
  <c r="J335" i="1"/>
  <c r="J82" i="1"/>
  <c r="I341" i="1"/>
  <c r="D341" i="1"/>
  <c r="I340" i="1"/>
  <c r="I339" i="1"/>
  <c r="I333" i="1"/>
  <c r="D333" i="1"/>
  <c r="I332" i="1"/>
  <c r="I331" i="1"/>
  <c r="I69" i="1"/>
  <c r="I68" i="1"/>
  <c r="I70" i="1"/>
  <c r="I64" i="1"/>
  <c r="I63" i="1"/>
  <c r="I62" i="1"/>
  <c r="I61" i="1"/>
  <c r="I60" i="1"/>
  <c r="D59" i="1"/>
  <c r="I66" i="1"/>
  <c r="I65" i="1"/>
  <c r="I59" i="1"/>
  <c r="I86" i="1"/>
  <c r="I36" i="1"/>
  <c r="I35" i="1"/>
  <c r="I34" i="1"/>
  <c r="J332" i="1" l="1"/>
  <c r="J333" i="1"/>
  <c r="J331" i="1"/>
  <c r="J341" i="1"/>
  <c r="J339" i="1"/>
  <c r="J340" i="1"/>
  <c r="J68" i="1"/>
  <c r="J69" i="1"/>
  <c r="J70" i="1"/>
  <c r="J64" i="1"/>
  <c r="J36" i="1"/>
  <c r="J86" i="1"/>
  <c r="J62" i="1"/>
  <c r="J63" i="1"/>
  <c r="J65" i="1"/>
  <c r="J61" i="1"/>
  <c r="J60" i="1"/>
  <c r="J59" i="1"/>
  <c r="J66" i="1"/>
  <c r="J35" i="1"/>
  <c r="J34" i="1"/>
  <c r="I222" i="1" l="1"/>
  <c r="I221" i="1"/>
  <c r="I206" i="1"/>
  <c r="I205" i="1"/>
  <c r="I204" i="1"/>
  <c r="I169" i="1"/>
  <c r="I168" i="1"/>
  <c r="I166" i="1"/>
  <c r="I165" i="1"/>
  <c r="I411" i="1"/>
  <c r="I349" i="1"/>
  <c r="I350" i="1"/>
  <c r="J168" i="1" l="1"/>
  <c r="J205" i="1"/>
  <c r="J169" i="1"/>
  <c r="J222" i="1"/>
  <c r="J221" i="1"/>
  <c r="J206" i="1"/>
  <c r="J204" i="1"/>
  <c r="J165" i="1"/>
  <c r="J166" i="1"/>
  <c r="J349" i="1"/>
  <c r="I30" i="1" l="1"/>
  <c r="D30" i="1"/>
  <c r="I346" i="1"/>
  <c r="I345" i="1"/>
  <c r="I33" i="1"/>
  <c r="J345" i="1" l="1"/>
  <c r="J30" i="1"/>
  <c r="J33" i="1"/>
  <c r="J346" i="1"/>
  <c r="I283" i="1"/>
  <c r="I254" i="1"/>
  <c r="J283" i="1" l="1"/>
  <c r="J254" i="1"/>
  <c r="I252" i="1"/>
  <c r="I251" i="1"/>
  <c r="I232" i="1"/>
  <c r="I231" i="1"/>
  <c r="I95" i="1"/>
  <c r="J95" i="1" l="1"/>
  <c r="D241" i="1"/>
  <c r="I217" i="1"/>
  <c r="I215" i="1"/>
  <c r="J216" i="1"/>
  <c r="J215" i="1" l="1"/>
  <c r="J217" i="1"/>
  <c r="I145" i="1"/>
  <c r="I127" i="1"/>
  <c r="I100" i="1"/>
  <c r="J145" i="1" l="1"/>
  <c r="J127" i="1"/>
  <c r="J100" i="1"/>
  <c r="I173" i="1"/>
  <c r="D173" i="1"/>
  <c r="J173" i="1" l="1"/>
  <c r="I174" i="1" l="1"/>
  <c r="I172" i="1"/>
  <c r="I191" i="1"/>
  <c r="I190" i="1"/>
  <c r="I187" i="1"/>
  <c r="I186" i="1"/>
  <c r="I183" i="1"/>
  <c r="I182" i="1"/>
  <c r="I181" i="1"/>
  <c r="I180" i="1"/>
  <c r="I178" i="1"/>
  <c r="I177" i="1"/>
  <c r="I176" i="1"/>
  <c r="I212" i="1"/>
  <c r="I211" i="1"/>
  <c r="I157" i="1"/>
  <c r="I160" i="1"/>
  <c r="I159" i="1"/>
  <c r="I156" i="1"/>
  <c r="I162" i="1"/>
  <c r="I161" i="1"/>
  <c r="I158" i="1"/>
  <c r="I155" i="1"/>
  <c r="I154" i="1"/>
  <c r="I153" i="1"/>
  <c r="I152" i="1"/>
  <c r="I149" i="1"/>
  <c r="I147" i="1"/>
  <c r="I146" i="1"/>
  <c r="I144" i="1"/>
  <c r="I143" i="1"/>
  <c r="I142" i="1"/>
  <c r="I141" i="1"/>
  <c r="I214" i="1"/>
  <c r="I151" i="1"/>
  <c r="I150" i="1"/>
  <c r="I140" i="1"/>
  <c r="J174" i="1" l="1"/>
  <c r="J181" i="1"/>
  <c r="J180" i="1"/>
  <c r="J182" i="1"/>
  <c r="J190" i="1"/>
  <c r="J183" i="1"/>
  <c r="J186" i="1"/>
  <c r="J187" i="1"/>
  <c r="J191" i="1"/>
  <c r="J172" i="1"/>
  <c r="J178" i="1"/>
  <c r="J177" i="1"/>
  <c r="J176" i="1"/>
  <c r="J211" i="1"/>
  <c r="J212" i="1"/>
  <c r="J144" i="1"/>
  <c r="J155" i="1"/>
  <c r="J161" i="1"/>
  <c r="J159" i="1"/>
  <c r="J157" i="1"/>
  <c r="J162" i="1"/>
  <c r="J154" i="1"/>
  <c r="J156" i="1"/>
  <c r="J160" i="1"/>
  <c r="J158" i="1"/>
  <c r="J153" i="1"/>
  <c r="J152" i="1"/>
  <c r="J146" i="1"/>
  <c r="J143" i="1"/>
  <c r="J151" i="1"/>
  <c r="J142" i="1"/>
  <c r="J150" i="1"/>
  <c r="J141" i="1"/>
  <c r="J147" i="1"/>
  <c r="J149" i="1"/>
  <c r="J140" i="1"/>
  <c r="I218" i="1"/>
  <c r="J214" i="1"/>
  <c r="I210" i="1"/>
  <c r="I202" i="1"/>
  <c r="I201" i="1"/>
  <c r="I200" i="1"/>
  <c r="I193" i="1"/>
  <c r="I194" i="1"/>
  <c r="I197" i="1"/>
  <c r="I196" i="1"/>
  <c r="I195" i="1"/>
  <c r="I175" i="1"/>
  <c r="I171" i="1"/>
  <c r="J193" i="1" l="1"/>
  <c r="J210" i="1"/>
  <c r="J218" i="1"/>
  <c r="J202" i="1"/>
  <c r="J201" i="1"/>
  <c r="J200" i="1"/>
  <c r="J196" i="1"/>
  <c r="J194" i="1"/>
  <c r="J195" i="1"/>
  <c r="J197" i="1"/>
  <c r="J175" i="1"/>
  <c r="J171" i="1"/>
  <c r="D133" i="1"/>
  <c r="I135" i="1"/>
  <c r="I134" i="1"/>
  <c r="I133" i="1"/>
  <c r="I132" i="1"/>
  <c r="I209" i="1"/>
  <c r="I208" i="1"/>
  <c r="I136" i="1"/>
  <c r="I131" i="1"/>
  <c r="I130" i="1"/>
  <c r="I129" i="1"/>
  <c r="I122" i="1"/>
  <c r="I99" i="1"/>
  <c r="I124" i="1"/>
  <c r="I123" i="1"/>
  <c r="I121" i="1"/>
  <c r="I120" i="1"/>
  <c r="I118" i="1"/>
  <c r="I117" i="1"/>
  <c r="I115" i="1"/>
  <c r="I114" i="1"/>
  <c r="I113" i="1"/>
  <c r="I112" i="1"/>
  <c r="I111" i="1"/>
  <c r="I110" i="1"/>
  <c r="I109" i="1"/>
  <c r="I104" i="1"/>
  <c r="I103" i="1"/>
  <c r="I102" i="1"/>
  <c r="I101" i="1"/>
  <c r="I98" i="1"/>
  <c r="I97" i="1"/>
  <c r="I96" i="1"/>
  <c r="J132" i="1" l="1"/>
  <c r="J112" i="1"/>
  <c r="J113" i="1"/>
  <c r="J134" i="1"/>
  <c r="J135" i="1"/>
  <c r="J133" i="1"/>
  <c r="J131" i="1"/>
  <c r="J129" i="1"/>
  <c r="J136" i="1"/>
  <c r="J209" i="1"/>
  <c r="J130" i="1"/>
  <c r="J208" i="1"/>
  <c r="J124" i="1"/>
  <c r="J122" i="1"/>
  <c r="J117" i="1"/>
  <c r="J121" i="1"/>
  <c r="J123" i="1"/>
  <c r="J120" i="1"/>
  <c r="J118" i="1"/>
  <c r="J115" i="1"/>
  <c r="J114" i="1"/>
  <c r="J110" i="1"/>
  <c r="J99" i="1"/>
  <c r="J101" i="1"/>
  <c r="J103" i="1"/>
  <c r="J97" i="1"/>
  <c r="J96" i="1"/>
  <c r="J98" i="1"/>
  <c r="J102" i="1"/>
  <c r="J104" i="1"/>
  <c r="J109" i="1"/>
  <c r="J111" i="1"/>
  <c r="I28" i="1"/>
  <c r="I27" i="1"/>
  <c r="I26" i="1"/>
  <c r="I25" i="1"/>
  <c r="I23" i="1"/>
  <c r="I20" i="1"/>
  <c r="I22" i="1"/>
  <c r="I21" i="1"/>
  <c r="I18" i="1"/>
  <c r="I15" i="1"/>
  <c r="I14" i="1"/>
  <c r="I13" i="1"/>
  <c r="J25" i="1" l="1"/>
  <c r="J20" i="1"/>
  <c r="J28" i="1"/>
  <c r="J26" i="1"/>
  <c r="J27" i="1"/>
  <c r="J23" i="1"/>
  <c r="J21" i="1"/>
  <c r="J18" i="1"/>
  <c r="J22" i="1"/>
  <c r="J13" i="1"/>
  <c r="J15" i="1"/>
  <c r="J14" i="1"/>
  <c r="I348" i="1"/>
  <c r="I410" i="1"/>
  <c r="I344" i="1"/>
  <c r="I353" i="1" l="1"/>
  <c r="J350" i="1" l="1"/>
  <c r="J353" i="1"/>
  <c r="J344" i="1"/>
  <c r="J348" i="1" l="1"/>
  <c r="J411" i="1"/>
  <c r="J410" i="1"/>
  <c r="J342" i="1" l="1"/>
  <c r="I241" i="1"/>
  <c r="J251" i="1" l="1"/>
  <c r="J252" i="1"/>
  <c r="J241" i="1"/>
  <c r="J56" i="1" l="1"/>
  <c r="I238" i="1"/>
  <c r="D238" i="1"/>
  <c r="D228" i="1"/>
  <c r="D229" i="1"/>
  <c r="J231" i="1" l="1"/>
  <c r="J232" i="1"/>
  <c r="J238" i="1"/>
  <c r="I239" i="1" l="1"/>
  <c r="D239" i="1"/>
  <c r="I237" i="1"/>
  <c r="D237" i="1"/>
  <c r="I236" i="1"/>
  <c r="I235" i="1"/>
  <c r="I234" i="1"/>
  <c r="I230" i="1"/>
  <c r="I229" i="1"/>
  <c r="I228" i="1"/>
  <c r="I227" i="1"/>
  <c r="I226" i="1"/>
  <c r="D226" i="1"/>
  <c r="J236" i="1" l="1"/>
  <c r="J230" i="1"/>
  <c r="J237" i="1"/>
  <c r="J234" i="1"/>
  <c r="J227" i="1"/>
  <c r="J235" i="1"/>
  <c r="J239" i="1"/>
  <c r="J226" i="1"/>
  <c r="J229" i="1"/>
  <c r="J228" i="1"/>
  <c r="J223" i="1" l="1"/>
  <c r="I220" i="1"/>
  <c r="I92" i="1"/>
  <c r="J220" i="1" l="1"/>
  <c r="J92" i="1"/>
  <c r="I84" i="1" l="1"/>
  <c r="I83" i="1"/>
  <c r="I81" i="1"/>
  <c r="D81" i="1"/>
  <c r="I57" i="1"/>
  <c r="I54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J50" i="1" l="1"/>
  <c r="J57" i="1"/>
  <c r="J42" i="1"/>
  <c r="J81" i="1"/>
  <c r="J84" i="1"/>
  <c r="J83" i="1"/>
  <c r="J54" i="1"/>
  <c r="J44" i="1"/>
  <c r="J41" i="1"/>
  <c r="J49" i="1"/>
  <c r="J39" i="1"/>
  <c r="J40" i="1"/>
  <c r="J48" i="1"/>
  <c r="J43" i="1" l="1"/>
  <c r="J47" i="1"/>
  <c r="J46" i="1"/>
  <c r="J45" i="1"/>
  <c r="J52" i="1" l="1"/>
  <c r="J51" i="1"/>
  <c r="J37" i="1" l="1"/>
  <c r="I32" i="1" l="1"/>
  <c r="J249" i="1" l="1"/>
  <c r="J32" i="1"/>
  <c r="J93" i="1" l="1"/>
  <c r="I12" i="1"/>
  <c r="J12" i="1" s="1"/>
  <c r="J10" i="1" s="1"/>
  <c r="J31" i="1" l="1"/>
  <c r="J91" i="1"/>
  <c r="J414" i="1" l="1"/>
  <c r="K249" i="1" l="1"/>
  <c r="K342" i="1"/>
  <c r="K31" i="1"/>
  <c r="K93" i="1"/>
  <c r="K223" i="1"/>
  <c r="K37" i="1"/>
  <c r="K91" i="1"/>
  <c r="K10" i="1"/>
  <c r="K414" i="1"/>
</calcChain>
</file>

<file path=xl/comments1.xml><?xml version="1.0" encoding="utf-8"?>
<comments xmlns="http://schemas.openxmlformats.org/spreadsheetml/2006/main">
  <authors>
    <author>gpp002</author>
  </authors>
  <commentList>
    <comment ref="H10" authorId="0" shapeId="0">
      <text>
        <r>
          <rPr>
            <b/>
            <sz val="9"/>
            <color indexed="81"/>
            <rFont val="Segoe UI"/>
            <family val="2"/>
          </rPr>
          <t>Entre 2% a 5%.</t>
        </r>
      </text>
    </comment>
  </commentList>
</comments>
</file>

<file path=xl/sharedStrings.xml><?xml version="1.0" encoding="utf-8"?>
<sst xmlns="http://schemas.openxmlformats.org/spreadsheetml/2006/main" count="2049" uniqueCount="924">
  <si>
    <t>Item</t>
  </si>
  <si>
    <t>Código</t>
  </si>
  <si>
    <t>Descrição</t>
  </si>
  <si>
    <t>Qtdd.</t>
  </si>
  <si>
    <t>%</t>
  </si>
  <si>
    <t>SINAPI</t>
  </si>
  <si>
    <t>UN</t>
  </si>
  <si>
    <t>CPOS</t>
  </si>
  <si>
    <t>1.</t>
  </si>
  <si>
    <t>Custo Unitário
S/ BDI
(R$)</t>
  </si>
  <si>
    <t>Preço Unitário
C/ BDI
(R$)</t>
  </si>
  <si>
    <t>M2</t>
  </si>
  <si>
    <t>2.</t>
  </si>
  <si>
    <t>M</t>
  </si>
  <si>
    <t>M3</t>
  </si>
  <si>
    <t>Preço Total
C/ BDI 
(R$)</t>
  </si>
  <si>
    <t>Fonte
(Ref.)</t>
  </si>
  <si>
    <t xml:space="preserve"> </t>
  </si>
  <si>
    <t>Médio</t>
  </si>
  <si>
    <t>ADMINISTRAÇÃO CENTRAL</t>
  </si>
  <si>
    <t>RISCO</t>
  </si>
  <si>
    <t>LUCRO</t>
  </si>
  <si>
    <t>BDI</t>
  </si>
  <si>
    <t>1° Quartil</t>
  </si>
  <si>
    <t>CONSTRUÇÃO DE EDIFÍCIOS</t>
  </si>
  <si>
    <t>00</t>
  </si>
  <si>
    <t xml:space="preserve">UN </t>
  </si>
  <si>
    <t>FONTE:</t>
  </si>
  <si>
    <t>LOCAL:</t>
  </si>
  <si>
    <t>BDI 1</t>
  </si>
  <si>
    <t>BDI 2</t>
  </si>
  <si>
    <t>Fator K</t>
  </si>
  <si>
    <t>REVISÃO:</t>
  </si>
  <si>
    <t>DATA BASE:</t>
  </si>
  <si>
    <t>BDI 3</t>
  </si>
  <si>
    <t>-</t>
  </si>
  <si>
    <t xml:space="preserve">T O T A L   G E R A L : </t>
  </si>
  <si>
    <t>1.1</t>
  </si>
  <si>
    <t>Obs.: Todos os valores foram truncados a partir da segunda casa decimal.</t>
  </si>
  <si>
    <t>2.1</t>
  </si>
  <si>
    <t>OBJETO:</t>
  </si>
  <si>
    <t>SAAE</t>
  </si>
  <si>
    <t>TRABALHOS TÉCNICOS</t>
  </si>
  <si>
    <t>12.12.010</t>
  </si>
  <si>
    <t>TX</t>
  </si>
  <si>
    <t>LOCACAO CONVENCIONAL DE OBRA, UTILIZANDO GABARITO DE TÁBUAS CORRIDAS PONTALETADAS A CADA 2,00M - 2 UTILIZAÇÕES. AF_10/2018</t>
  </si>
  <si>
    <t>11.01.260</t>
  </si>
  <si>
    <t>10.01.040</t>
  </si>
  <si>
    <t>KG</t>
  </si>
  <si>
    <t>CAMADA SEPARADORA PARA EXECUÇÃO DE RADIER, PISO DE CONCRETO OU LAJE SOBRE SOLO, EM LONA PLÁSTICA EXTRA FORTE PRETA, E = 200 MICRA. AF_09/2021</t>
  </si>
  <si>
    <t>11.16.080</t>
  </si>
  <si>
    <t>LASTRO COM MATERIAL GRANULAR (PEDRA BRITADA N.1 E PEDRA BRITADA N.2), APLICADO EM PISOS OU LAJES SOBRE SOLO, ESPESSURA DE *10 CM*. AF_07/2019</t>
  </si>
  <si>
    <t>IMPLANTAÇÃO</t>
  </si>
  <si>
    <t>MURO DE DIVISA</t>
  </si>
  <si>
    <t>LIMPEZA MECANIZADA DE CAMADA VEGETAL, VEGETAÇÃO E PEQUENAS ÁRVORES (DIÂMETRO DE TRONCO MENOR QUE 0,20 M), COM TRATOR DE ESTEIRAS.AF_05/2018</t>
  </si>
  <si>
    <t>02.08.020</t>
  </si>
  <si>
    <t>PLACA DE IDENTIFICAÇÃO PARA OBRA</t>
  </si>
  <si>
    <t>2.2</t>
  </si>
  <si>
    <t>02.10.050</t>
  </si>
  <si>
    <t>LOCAÇÃO PARA MUROS, CERCAS E ALAMBRADOS</t>
  </si>
  <si>
    <t>ESCAVAÇÃO MANUAL DE VALA PARA VIGA BALDRAME (INCLUINDO ESCAVAÇÃO PARA COLOCAÇÃO DE FÔRMAS). AF_06/2017</t>
  </si>
  <si>
    <t>ESTACA BROCA DE CONCRETO, DIÂMETRO DE 20CM, ESCAVAÇÃO MANUAL COM TRADO CONCHA, COM ARMADURA DE ARRANQUE. AF_05/2020</t>
  </si>
  <si>
    <t>ARMADURA EM BARRA DE AÇO CA-50 (A OU B) FYK = 500 MPA</t>
  </si>
  <si>
    <t>10.01.060</t>
  </si>
  <si>
    <t>ARMADURA EM BARRA DE AÇO CA-60 (A OU B) FYK = 600 MPA</t>
  </si>
  <si>
    <t>CONCRETO USINADO, FCK = 20 MPA - PARA BOMBEAMENTO</t>
  </si>
  <si>
    <t>LANÇAMENTO COM USO DE BOMBA, ADENSAMENTO E ACABAMENTO DE CONCRETO EM ESTRUTURAS. AF_02/2022</t>
  </si>
  <si>
    <t>ALVENARIA DE VEDAÇÃO DE BLOCOS VAZADOS DE CONCRETO APARENTE DE 14X19X39 CM (ESPESSURA 14 CM) E ARGAMASSA DE ASSENTAMENTO COM PREPARO EM BETONEIRA. AF_12/2021</t>
  </si>
  <si>
    <t>CINTA DE AMARRAÇÃO DE ALVENARIA MOLDADA IN LOCO COM UTILIZAÇÃO DE BLOCOS CANALETA. AF_03/2016</t>
  </si>
  <si>
    <t>CHAPIM (RUFO CAPA) EM AÇO GALVANIZADO, CORTE 33. AF_11/2020</t>
  </si>
  <si>
    <t>CONCERTINA SIMPLES EM ACO GALVANIZADO DE ALTA RESISTENCIA, COM ESPIRAL DE 300 MM, D = 2,76 MM</t>
  </si>
  <si>
    <t>APLICAÇÃO DE FUNDO SELADOR ACRÍLICO EM PAREDES, UMA DEMÃO. AF_06/2014</t>
  </si>
  <si>
    <t>34.05.320</t>
  </si>
  <si>
    <t>PORTA CADEADO ZINCADO OXIDADO PRETO COM CADEADO DE AÇO INOX, LARGURA DE *50* MM. AF_12/2019</t>
  </si>
  <si>
    <t>3.</t>
  </si>
  <si>
    <t>PAVIMENTAÇÃO INTERNA</t>
  </si>
  <si>
    <t>PAISAGISMO</t>
  </si>
  <si>
    <t>54.01.010</t>
  </si>
  <si>
    <t>TRANSPORTE COM CAMINHÃO BASCULANTE DE 18 M³, EM VIA URBANA PAVIMENTADA, DMT ATÉ 30 KM (UNIDADE: M3XKM). AF_07/2020</t>
  </si>
  <si>
    <t>M3XKM</t>
  </si>
  <si>
    <t>PLANTIO DE GRAMA BATATAIS EM PLACAS. AF_05/2018</t>
  </si>
  <si>
    <t>EXECUÇÃO DE PAVIMENTO EM PISO INTERTRAVADO, COM BLOCO SEXTAVADO DE 25 X 25 CM, ESPESSURA 8 CM. AF_10/2022</t>
  </si>
  <si>
    <t>EXECUÇÃO DE RADIER, ESPESSURA DE 15 CM, FCK = 30 MPA, COM USO DE FORMAS EM MADEIRA SERRADA. AF_09/2021</t>
  </si>
  <si>
    <t>4.</t>
  </si>
  <si>
    <t>5.</t>
  </si>
  <si>
    <t>2.3</t>
  </si>
  <si>
    <t>4.1</t>
  </si>
  <si>
    <t>6.</t>
  </si>
  <si>
    <t>ENTRADA DE ENERGIA</t>
  </si>
  <si>
    <t>7.</t>
  </si>
  <si>
    <t>LOCACAO DE CONTAINER 2,30 X 6,00 M, ALT. 2,50 M, COM 1 SANITARIO, PARA ESCRITÓRIO E DEPÓSITO, COMPLETO, SEM DIVISORIAS INTERNAS</t>
  </si>
  <si>
    <t>MÊS</t>
  </si>
  <si>
    <t>8.</t>
  </si>
  <si>
    <r>
      <t xml:space="preserve">ARMADURA EM BARRA DE AÇO CA-50 (A OU B) FYK = 500 MPA - </t>
    </r>
    <r>
      <rPr>
        <b/>
        <sz val="10"/>
        <rFont val="Cambria"/>
        <family val="1"/>
      </rPr>
      <t>ARMADURA DAS ESTACAS</t>
    </r>
  </si>
  <si>
    <t>ESTACAS HÉLICE CONTÍNUA</t>
  </si>
  <si>
    <t>BLOCO DE COROAMENTO</t>
  </si>
  <si>
    <t>46.04.070</t>
  </si>
  <si>
    <t>46.04.080</t>
  </si>
  <si>
    <t>46.04.090</t>
  </si>
  <si>
    <t>8.1</t>
  </si>
  <si>
    <t>15.03.030</t>
  </si>
  <si>
    <t xml:space="preserve">11.01.290 </t>
  </si>
  <si>
    <t>12.12.060</t>
  </si>
  <si>
    <t>7.1</t>
  </si>
  <si>
    <t>REDUÇÃO CONCÊNTRICA COM FLANGES PN10 FERRO FUNDIDO DN=300 X 200 MM * (58,00 KG) PINTURA BETUMINOSA, ACESSÓRIOS NÃO INCLUSOS NBR 7675 ÁGUA</t>
  </si>
  <si>
    <t>SABESP</t>
  </si>
  <si>
    <t>HM03325</t>
  </si>
  <si>
    <t>CURVA 90º COM FLANGES PN10 FERRO FUNDIDO DN=200 MM * (28,00 KG) PINTURA BETUMINOSA - ACESSÓRIOS NÃO INCLUSOS NBR 7675 ÁGUA</t>
  </si>
  <si>
    <t>HM03004</t>
  </si>
  <si>
    <t>TÊ COM FLANGES PN10 FERRO FUNDIDO DN=300 X 300 MM * (119,00 KG) PINTURA BETUMINOSA, ACESSÓRIOS NÃO INCLUSOS NBR 7675 ÁGUA</t>
  </si>
  <si>
    <t>HM03412</t>
  </si>
  <si>
    <t>EXTREMIDADE BOLSA JE2GS - FLANGE PN10 FERRO FUNDIDO DN=300 MM L=150 MM * (37,60 KG) PINTURA BETUMINOSA - INCLUSO ANEL DE BORRACHA NBR 7675 ÁGUA</t>
  </si>
  <si>
    <t>HM03099</t>
  </si>
  <si>
    <t>CURVA 45º COM BOLSAS JE2GS FERRO FUNDIDO DN=300 MM * (53,40 KG) PINTURA BETUMINOSA E ANÉIS DE BORRACHA INCLUSOS NBR 7675 ÁGUA</t>
  </si>
  <si>
    <t>HM02957</t>
  </si>
  <si>
    <t>HM02967</t>
  </si>
  <si>
    <t>VÁLVULA GAVETA C/FLANGES PN10 FERRO FUNDIDO DN=300 MM * (155,00 KG), ACION. VOLANTE, CUNHA DE BORRACHA, MÉTRICA CHATA, PINTURA EPÓXI EM PÓ NBR 14968 ÁGUA/ESGOTO</t>
  </si>
  <si>
    <t>HM04167</t>
  </si>
  <si>
    <t>VÁLVULA GAVETA C/FLANGES PN10 FERRO FUNDIDO DN=200 MM * (66,00 KG), ACION. VOLANTE, CUNHA DE BORRACHA, MÉTRICA CHATA, PINTURA EPÓXI EM PÓ NBR 14968 ÁGUA/ESGOTO</t>
  </si>
  <si>
    <t>HM04165</t>
  </si>
  <si>
    <t>HM07708</t>
  </si>
  <si>
    <t>TUBO C/FLANGE PN10 E PONTA FERRO FUNDIDO DN=200 MM L=1.000 MM * (44,80 KG) PINTURA BETUMINOSA, ACESSÓRIOS NÃO INCLUSOS NBR 7675 ÁGUA</t>
  </si>
  <si>
    <t>HM03955</t>
  </si>
  <si>
    <t>TUBOS E CONEXÕES METÁLICOS FLANGEADOS - MONTAGEM</t>
  </si>
  <si>
    <t>HM01294</t>
  </si>
  <si>
    <t>CJ</t>
  </si>
  <si>
    <t>ACESSÓRIOS PARA FLANGE DN=300 PN10 AÇO GALV D=3/4" X L=3 1/2" 12 CJ (PARAFUSO, PORCA E ARRUELA) NORMA 0100-400-E027 FL3/3</t>
  </si>
  <si>
    <t>HM01296</t>
  </si>
  <si>
    <t>ACESSÓRIOS PARA FLANGE DN=250 PN10 AÇO GALV D=3/4" X L=3 1/2" 12 CJ (PARAFUSO, PORCA E ARRUELA) NORMA 0100-400-E027 FL3/3</t>
  </si>
  <si>
    <t>HM01295</t>
  </si>
  <si>
    <t>ACESSÓRIOS PARA FLANGE DN=200 PN10 AÇO GALV D=3/4" X L=3 1/2" 8 CJ (PARAFUSO, PORCA E ARRUELA) NORMA 0100-400-E027 FL3/3</t>
  </si>
  <si>
    <t>CURVA 90º COM FLANGES PN10 FERRO FUNDIDO DN=250 MM * (46,00 KG) PINTURA BETUMINOSA - ACESSÓRIOS NÃO INCLUSOS NBR 7675 ÁGUA</t>
  </si>
  <si>
    <t>HM03005</t>
  </si>
  <si>
    <t>TÊ COM FLANGES PN10 FERRO FUNDIDO DN=200 X 200 MM * (47,00 KG) PINTURA BETUMINOSA, ACESSÓRIOS NÃO INCLUSOS NBR 7675 ÁGUA</t>
  </si>
  <si>
    <t>HM03406</t>
  </si>
  <si>
    <t>EXTREMIDADE BOLSA JE2GS - FLANGE PN10 FERRO FUNDIDO DN=200 MM L=140 MM * (20,90 KG) PINTURA BETUMINOSA - INCLUSO ANEL DE BORRACHA NBR 7675 ÁGUA</t>
  </si>
  <si>
    <t>HM03097</t>
  </si>
  <si>
    <t>HM04166</t>
  </si>
  <si>
    <t>VÁLVULA GAVETA C/FLANGES PN10 FERRO FUNDIDO DN=250 MM * (108,00 KG), ACION. VOLANTE, CUNHA DE BORRACHA, MÉTRICA CHATA, PINTURA EPÓXI EM PÓ NBR 14968 ÁGUA/ESGOTO</t>
  </si>
  <si>
    <t>CURVA 90º COM BOLSAS JE2GS FERRO FUNDIDO DN=200 MM * (33,90 KG) PINTURA BETUMINOSA E ANÉIS DE BORRACHA INCLUSOS NBR 7675 PARA ÁGUA</t>
  </si>
  <si>
    <t>HM02965</t>
  </si>
  <si>
    <t>CURVA 90º COM BOLSAS JE2GS FERRO FUNDIDO DN=250 MM * (47,90 KG) PINTURA BETUMINOSA E ANÉIS DE BORRACHA INCLUSOS NBR 7675 PARA ÁGUA</t>
  </si>
  <si>
    <t>HM02966</t>
  </si>
  <si>
    <t>ACESSÓRIOS PARA FLANGE DN=150 PN10 AÇO GALV D=3/4" X L=2 3/4" 8 CJ (PARAFUSO, PORCA E ARRUELA) NORMA 0100-400-E027 FL3/3</t>
  </si>
  <si>
    <t>HM01293</t>
  </si>
  <si>
    <t>FRESAGEM DO ASFALTO</t>
  </si>
  <si>
    <t>MOVIMENTAÇÃO DE TERRA</t>
  </si>
  <si>
    <t>TUBULAÇÃO, PEÇAS E ACESSÓRIOS</t>
  </si>
  <si>
    <t>FRESAGEM DE PAVIMENTO ASFÁLTICO (PROFUNDIDADE ATÉ 5,0 CM) - EXCLUSIVE TRANSPORTE. AF_11/2019</t>
  </si>
  <si>
    <t>RECOMPOSIÇÃO DE REVESTIMENTO EM CONCRETO ASFÁLTICO (AQUISIÇÃO EM USINA), PARA O FECHAMENTO DE VALAS. AF_12/2020</t>
  </si>
  <si>
    <t>TRANSPORTE COM CAMINHÃO BASCULANTE DE 10 M³, EM VIA URBANA PAVIMENTADA, DMT ATÉ 30 KM (UNIDADE: M3XKM). AF_07/2020</t>
  </si>
  <si>
    <t>ESCAVAÇÃO MECANIZADA DE VALA COM PROF. ATÉ 1,5 M (MÉDIA MONTANTE E JUSANTE/UMA COMPOSIÇÃO POR TRECHO), ESCAVADEIRA (0,8 M3), LARG. MENOR QUE 1,5 M, EM SOLO DE 1A CATEGORIA, EM LOCAIS COM ALTO NÍVEL DE INTERFERÊNCIA. AF_02/2021</t>
  </si>
  <si>
    <t>REATERRO MECANIZADO DE VALA COM RETROESCAVADEIRA (CAPACIDADE DA CAÇAMBA DA RETRO: 0,26 M³/POTÊNCIA: 88 HP), LARGURA ATÉ 0,8 M, PROFUNDIDADE ATÉ 1,5 M, COM SOLO (SEM SUBSTITUIÇÃO) DE 1ª CATEGORIA, COM PLACA VIBRATÓRIA. AF_08/2023</t>
  </si>
  <si>
    <t>REDUÇÃO PONTA BOLSA JE2GS FERRO FUNDIDO DN=250 X 150 MM * (22,10 KG) PINTURA BETUMINOSA, ANEL DE BORRACHA INCLUSO NBR 7675 ÁGUA</t>
  </si>
  <si>
    <t>HM03368</t>
  </si>
  <si>
    <t>REDUÇÃO PONTA BOLSA JE2GS FERRO FUNDIDO DN=250 X 200 MM * (22,30 KG) PINTURA BETUMINOSA, ANEL DE BORRACHA INCLUSO NBR 7675 ÁGUA</t>
  </si>
  <si>
    <t>HM03369</t>
  </si>
  <si>
    <t>TÊ COM BOLSAS JE2GS FERRO FUNDIDO DN= 250 X 250 MM * (58,90 KG) PINTURA BETUMINOSA, ANÉIS DE BORRACHA INCLUSOS NBR 7675 ÁGUA</t>
  </si>
  <si>
    <t>HM03427</t>
  </si>
  <si>
    <t>TÊ COM BOLSAS JE2GS FERRO FUNDIDO DN=200 X 200 MM * (45,50 KG) PINTURA BETUMINOSA, ANÉIS DE BORRACHA INCLUSOS NBR 7675 ÁGUA</t>
  </si>
  <si>
    <t>HM03424</t>
  </si>
  <si>
    <t>VÁLVULA GAVETA C/BOLSAS JGS FERRO FUNDIDO DN=150 MM (34,00 KG), ACION. CABEÇOTE, CUNHA DE BORRACHA, PINTURA EPÓXI EM PÓ NBR 14968 ÁGUA/ESGOTO</t>
  </si>
  <si>
    <t>HM07062</t>
  </si>
  <si>
    <t>HM07066</t>
  </si>
  <si>
    <t>VÁLVULA GAVETA C/BOLSAS JGS FERRO FUNDIDO DN=250 MM (95,00 KG), ACION. CABEÇOTE, CUNHA DE BORRACHA, PINTURA EPÓXI EM PÓ NBR 14968 ÁGUA/ESGOTO</t>
  </si>
  <si>
    <t>VÁLVULA GAVETA C/BOLSAS JGS FERRO FUNDIDO DN=200 MM (65,00 KG), ACION. CABEÇOTE, CUNHA DE BORRACHA, PINTURA EPÓXI EM PÓ NBR 14968 ÁGUA/ESGOTO</t>
  </si>
  <si>
    <t>HM07064</t>
  </si>
  <si>
    <t>CAIXA TIPO T-5 FERRO FUNDIDO DN 100 MM COM TAMPA ARTICULADA PARA VÁLVULA NTS 033</t>
  </si>
  <si>
    <t>HM01366</t>
  </si>
  <si>
    <t>46.04.050</t>
  </si>
  <si>
    <t>TUBO C/FLANGE PN10 E PONTA FERRO FUNDIDO DN=200 MM L=4.000 MM * (149,20 KG) PINTURA BETUMINOSA, ACESSÓRIOS NÃO INCLUSOS NBR 7675 ÁGUA</t>
  </si>
  <si>
    <t>HM03961</t>
  </si>
  <si>
    <t>TUBO C/FLANGES PN10 FERRO FUNDIDO DN=250 MM L=5.800 MM * (292,32 KG) PINTURA BETUMINOSA, ACESSÓRIOS NÃO INCLUSOS NBR 7675 ÁGUA</t>
  </si>
  <si>
    <t>HM03606</t>
  </si>
  <si>
    <t>TUBO C/FLANGE PN10 E PONTA FERRO FUNDIDO DN=250 MM L=4.250 MM * (218,80 KG) PINTURA BETUMINOSA, ACESSÓRIOS NÃO INCLUSOS NBR 7675 ÁGUA</t>
  </si>
  <si>
    <t>1.2</t>
  </si>
  <si>
    <t>3.1</t>
  </si>
  <si>
    <t>3.2</t>
  </si>
  <si>
    <t>3.3</t>
  </si>
  <si>
    <t>3.4</t>
  </si>
  <si>
    <t>3.5</t>
  </si>
  <si>
    <t>7.2</t>
  </si>
  <si>
    <t>8.2</t>
  </si>
  <si>
    <t>8.3</t>
  </si>
  <si>
    <t>8.4</t>
  </si>
  <si>
    <t>CONSTRUÇÃO DO CENTRO DE PRODUÇÃO, RESERVAÇÃO E DISTRIBUIÇÃO CEDRINHO</t>
  </si>
  <si>
    <t>AV. FABER, S/N° - DISTRITO INDUSTRIAL - SÃO CARLOS - SP</t>
  </si>
  <si>
    <t>LEVANTAMENTO, NIVELAMENTO E LOCAÇÃO DE FUROS DE SONDAGEM</t>
  </si>
  <si>
    <t>74000154</t>
  </si>
  <si>
    <t>MOBILIZAÇÃO, INSTALAÇÃO E DESMOBILIZAÇÃO POR EQUIPE / EQUIPAMENTO, INCLUSIVE TRANSPORTE ATÉ 60KM - SONDAGEM A PERCUSSÃO COM EQUIPAMENTO MANUAL</t>
  </si>
  <si>
    <t>PERFURAÇÃO COM EQUIPAMENTO DE SONDAGEM MANUAL, DIÂMETRO 2 ½ POLEGADAS: FURO COM UM ENSAIO DE PENETRAÇÃO SPT A CADA METRO - SONDAGEM A PERCUSSÃO COM EQUIPAMENTO MANUAL</t>
  </si>
  <si>
    <t>DESLOCAMENTO DE EQUIPAMENTO ENTRE FUROS ATÉ 50 METROS, INCLUSIVE REINSTALAÇÃO - SONDAGEM A PERCUSSÃO COM EQUIPAMENTO MANUAL</t>
  </si>
  <si>
    <r>
      <t xml:space="preserve">SONDAGEM A PERCUSSÃO - </t>
    </r>
    <r>
      <rPr>
        <b/>
        <i/>
        <sz val="10"/>
        <rFont val="Cambria"/>
        <family val="1"/>
      </rPr>
      <t>SPT</t>
    </r>
  </si>
  <si>
    <t>ELABORAÇÃO DE PROJETOS EXECUTIVOS</t>
  </si>
  <si>
    <t>1.1.1</t>
  </si>
  <si>
    <t>1.1.2</t>
  </si>
  <si>
    <t>1.1.3</t>
  </si>
  <si>
    <t>1.2.1</t>
  </si>
  <si>
    <t>SBC</t>
  </si>
  <si>
    <t>000600</t>
  </si>
  <si>
    <t>PROJETO EXECUTIVO ESTRUTURAL</t>
  </si>
  <si>
    <t>000038</t>
  </si>
  <si>
    <t>CASA DE BOMBAS/QUÍMICA</t>
  </si>
  <si>
    <t>CABINE DE ENERGIA</t>
  </si>
  <si>
    <t>PROJETO DE INSTALACOES ELETRICAS ATE 400M2</t>
  </si>
  <si>
    <t>000063</t>
  </si>
  <si>
    <t>PROJETO DE INSTALACAO HIDRAULICA EM EDIFICACOES</t>
  </si>
  <si>
    <t>000086</t>
  </si>
  <si>
    <t>PROJETO DE FUNDAÇÕES ATÉ 400m2</t>
  </si>
  <si>
    <t>PORTÕES DE ACESSO</t>
  </si>
  <si>
    <t>TEXTURA ACRÍLICA, APLICAÇÃO MANUAL EM PAREDE, UMA DEMÃO. AF_04/2023</t>
  </si>
  <si>
    <t>ESCAVAÇÃO MANUAL DE VALA COM PROFUNDIDADE MENOR OU IGUAL A 1,30 M. AF_02/2021</t>
  </si>
  <si>
    <t>3.1.1</t>
  </si>
  <si>
    <t>3.1.2</t>
  </si>
  <si>
    <t>3.1.3</t>
  </si>
  <si>
    <t>3.1.4</t>
  </si>
  <si>
    <t>3.1.5</t>
  </si>
  <si>
    <t>3.1.6</t>
  </si>
  <si>
    <t>3.1.7</t>
  </si>
  <si>
    <t>3.1.8</t>
  </si>
  <si>
    <t>3.1.9</t>
  </si>
  <si>
    <t>3.1.10</t>
  </si>
  <si>
    <t>3.1.11</t>
  </si>
  <si>
    <t>3.1.12</t>
  </si>
  <si>
    <t>3.1.13</t>
  </si>
  <si>
    <t>3.1.14</t>
  </si>
  <si>
    <t>3.2.1</t>
  </si>
  <si>
    <t>3.2.2</t>
  </si>
  <si>
    <t>PORTÃO DE FERRO PERFILADO, TIPO PARQUE (6,00M x 2,50M) - 2 UNIDADES</t>
  </si>
  <si>
    <t>3.3.1</t>
  </si>
  <si>
    <t>3.3.2</t>
  </si>
  <si>
    <t>3.3.3</t>
  </si>
  <si>
    <t>3.3.4</t>
  </si>
  <si>
    <t>3.3.5</t>
  </si>
  <si>
    <t>3.3.6</t>
  </si>
  <si>
    <t>3.3.7</t>
  </si>
  <si>
    <t>3.3.8</t>
  </si>
  <si>
    <t>3.4.1</t>
  </si>
  <si>
    <t>3.4.2</t>
  </si>
  <si>
    <t>3.4.3</t>
  </si>
  <si>
    <t>3.5.1</t>
  </si>
  <si>
    <t>CASA DE BOMBAS / QUÍMICA</t>
  </si>
  <si>
    <t>EQUIPAMENTOS CASA DE QUÍMICA</t>
  </si>
  <si>
    <t>FABRICAÇÃO, MONTAGEM E DESMONTAGEM DE FÔRMA PARA VIGA BALDRAME, EM MADEIRA SERRADA, E=25 MM, 4 UTILIZAÇÕES. AF_01/2024</t>
  </si>
  <si>
    <t>FABRICAÇÃO, MONTAGEM E DESMONTAGEM DE FÔRMA PARA BLOCO DE COROAMENTO, EM MADEIRA SERRADA, E=25 MM, 4 UTILIZAÇÕES. AF_01/2024</t>
  </si>
  <si>
    <t>ESTRUTURA EM CONCRETO ARMADO</t>
  </si>
  <si>
    <t>FABRICAÇÃO DE FÔRMA PARA PILARES E ESTRUTURAS SIMILARES, EM MADEIRA SERRADA, E=25 MM. AF_09/2020</t>
  </si>
  <si>
    <t>FABRICAÇÃO DE FÔRMA PARA VIGAS, COM MADEIRA SERRADA, E = 25 MM. AF_09/2020</t>
  </si>
  <si>
    <t>CONCRETAGEM DE PILARES, FCK = 25 MPA, COM USO DE BALDES - LANÇAMENTO, ADENSAMENTO E ACABAMENTO. AF_02/2022</t>
  </si>
  <si>
    <t>CONCRETAGEM DE VIGAS E LAJES, FCK=25 MPA, PARA QUALQUER TIPO DE LAJE COM BALDES EM EDIFICAÇÃO TÉRREA - LANÇAMENTO, ADENSAMENTO E ACABAMENTO. AF_02/2022</t>
  </si>
  <si>
    <t>LAJE PRÉ-MOLDADA UNIDIRECIONAL, BIAPOIADA, PARA PISO, ENCHIMENTO EM CERÂMICA, VIGOTA CONVENCIONAL, ALTURA TOTAL DA LAJE (ENCHIMENTO+CAPA) = (8+4). AF_11/2020_PA</t>
  </si>
  <si>
    <t>ALVENARIA</t>
  </si>
  <si>
    <t>ALVENARIA DE VEDAÇÃO COM ELEMENTO VAZADO DE CERÂMICA (COBOGÓ) DE 7X20X20CM E ARGAMASSA DE ASSENTAMENTO COM PREPARO EM BETONEIRA. AF_05/2020</t>
  </si>
  <si>
    <t>VERGA MOLDADA IN LOCO COM UTILIZAÇÃO DE BLOCOS CANALETA PARA JANELAS COM ATÉ 1,5 M DE VÃO. AF_03/2016</t>
  </si>
  <si>
    <t>VERGA MOLDADA IN LOCO COM UTILIZAÇÃO DE BLOCOS CANALETA PARA PORTAS COM ATÉ 1,5 M DE VÃO. AF_03/2016</t>
  </si>
  <si>
    <t>CONTRAVERGA MOLDADA IN LOCO EM CONCRETO PARA VÃOS DE ATÉ 1,5 M DE COMPRIMENTO. AF_03/2016</t>
  </si>
  <si>
    <t>VERGA MOLDADA IN LOCO COM UTILIZAÇÃO DE BLOCOS CANALETA PARA PORTAS COM MAIS DE 1,5 M DE VÃO. AF_03/2016</t>
  </si>
  <si>
    <t>COBERTURA</t>
  </si>
  <si>
    <t>COBERTURA TELHA KALHETAO 90x4,6m COM ESTRUTRUTURA MADEIRA</t>
  </si>
  <si>
    <t>ESQUADRIAS</t>
  </si>
  <si>
    <t>REVESTIMENTO VERTICAL</t>
  </si>
  <si>
    <t>REVESTIMENTO HORIZONTAL</t>
  </si>
  <si>
    <t>JANELA DE AÇO TIPO BASCULANTE PARA VIDROS, COM BATENTE, FERRAGENS E PINTURA ANTICORROSIVA. EXCLUSIVE VIDROS, ACABAMENTO, ALIZAR E CONTRAMARCO. FORNECIMENTO E INSTALAÇÃO. AF_12/2019</t>
  </si>
  <si>
    <t>FECHADURA DE EMBUTIR COM CILINDRO, EXTERNA, COMPLETA, ACABAMENTO PADRÃO POPULAR, INCLUSO EXECUÇÃO DE FURO - FORNECIMENTO E INSTALAÇÃO. AF_12/2019</t>
  </si>
  <si>
    <t>28.01.550</t>
  </si>
  <si>
    <t>24.02.590</t>
  </si>
  <si>
    <t>INSTALAÇÃO DE VIDRO LISO FUME, E = 4 MM, FIXADO COM BAGUETE. AF_01/2021_PS</t>
  </si>
  <si>
    <t>FECHADURA PARA PORTA DE ACO TETRA 063 HAGA</t>
  </si>
  <si>
    <t>PINTURA</t>
  </si>
  <si>
    <t>INSTALAÇÕES HIDROSSANITÁRIAS</t>
  </si>
  <si>
    <t>LASTRO COM MATERIAL GRANULAR, APLICADO EM PISOS, ESPESSURA DE *5 CM*. AF_01/2024</t>
  </si>
  <si>
    <t>PISO EM CONCRETO 20 MPA PREPARO MECÂNICO, ESPESSURA 7CM. AF_09/2020</t>
  </si>
  <si>
    <t>EXECUÇÃO DE PASSEIO (CALÇADA) OU PISO DE CONCRETO COM CONCRETO MOLDADO IN LOCO, FEITO EM OBRA, ACABAMENTO CONVENCIONAL, ESPESSURA 6 CM, ARMADO. AF_08/2022</t>
  </si>
  <si>
    <t>FUNDO SELADOR ACRÍLICO, APLICAÇÃO MANUAL EM PAREDE, UMA DEMÃO. AF_04/2023</t>
  </si>
  <si>
    <t>25.02.050</t>
  </si>
  <si>
    <t>5.1</t>
  </si>
  <si>
    <t>5.1.1</t>
  </si>
  <si>
    <t>5.1.2</t>
  </si>
  <si>
    <t>5.1.3</t>
  </si>
  <si>
    <t>5.1.4</t>
  </si>
  <si>
    <t>5.1.5</t>
  </si>
  <si>
    <t>5.1.6</t>
  </si>
  <si>
    <t>5.1.7</t>
  </si>
  <si>
    <t>5.1.8</t>
  </si>
  <si>
    <t>5.2</t>
  </si>
  <si>
    <t>5.2.1</t>
  </si>
  <si>
    <t>5.2.2</t>
  </si>
  <si>
    <t>5.2.3</t>
  </si>
  <si>
    <t>5.2.4</t>
  </si>
  <si>
    <t>5.2.5</t>
  </si>
  <si>
    <t>5.2.6</t>
  </si>
  <si>
    <t>5.2.7</t>
  </si>
  <si>
    <t>5.3</t>
  </si>
  <si>
    <t>5.3.1</t>
  </si>
  <si>
    <t>5.3.2</t>
  </si>
  <si>
    <t>5.3.5</t>
  </si>
  <si>
    <t>5.3.6</t>
  </si>
  <si>
    <t>5.3.3</t>
  </si>
  <si>
    <t>5.3.4</t>
  </si>
  <si>
    <t>5.3.7</t>
  </si>
  <si>
    <t>5.4</t>
  </si>
  <si>
    <t>5.4.1</t>
  </si>
  <si>
    <t>5.5</t>
  </si>
  <si>
    <t>5.5.1</t>
  </si>
  <si>
    <t>5.5.2</t>
  </si>
  <si>
    <t>5.5.3</t>
  </si>
  <si>
    <t>5.5.4</t>
  </si>
  <si>
    <t>5.5.5</t>
  </si>
  <si>
    <t>5.5.6</t>
  </si>
  <si>
    <t>5.5.7</t>
  </si>
  <si>
    <t>5.5.8</t>
  </si>
  <si>
    <t>5.6</t>
  </si>
  <si>
    <t>5.6.1</t>
  </si>
  <si>
    <t>5.7</t>
  </si>
  <si>
    <t>5.7.1</t>
  </si>
  <si>
    <t>5.8</t>
  </si>
  <si>
    <t>5.8.1</t>
  </si>
  <si>
    <t>5.8.2</t>
  </si>
  <si>
    <t>5.8.3</t>
  </si>
  <si>
    <t>5.8.4</t>
  </si>
  <si>
    <t>5.8.5</t>
  </si>
  <si>
    <t>5.9</t>
  </si>
  <si>
    <t>5.9.1</t>
  </si>
  <si>
    <t>5.9.2</t>
  </si>
  <si>
    <t>5.9.3</t>
  </si>
  <si>
    <t>5.10</t>
  </si>
  <si>
    <t>5.10.1</t>
  </si>
  <si>
    <t>5.11</t>
  </si>
  <si>
    <t>LOUÇAS, ACESSÓRIOS E METAIS SANITÁRIOS</t>
  </si>
  <si>
    <t>5.11.1</t>
  </si>
  <si>
    <t>ÁGUA FRIA</t>
  </si>
  <si>
    <t>KIT PARA MEDIÇÃO DE ÁGUA PADRÃO SAAE - ENTRADA INDIVIDUALIZADA, EM PVC DN 25 (¾), PARA 1 MEDIDOR  FORNECIMENTO E INSTALAÇÃO (EXCLUSIVE HIDRÔMETRO). AF_11/2016</t>
  </si>
  <si>
    <t>46.01.020</t>
  </si>
  <si>
    <t>46.01.030</t>
  </si>
  <si>
    <r>
      <t xml:space="preserve">TUBO DE PVC RÍGIDO SOLDÁVEL MARROM, DN= 32 MM, (1´), INCLUSIVE CONEXÕES - </t>
    </r>
    <r>
      <rPr>
        <b/>
        <sz val="10"/>
        <rFont val="Cambria"/>
        <family val="1"/>
      </rPr>
      <t>EXTRAVASÃO E LIMPEZA RESERVATÓRIO</t>
    </r>
  </si>
  <si>
    <r>
      <t xml:space="preserve">TUBO DE PVC RÍGIDO SOLDÁVEL MARROM, DN= 25 MM, (3/4´), INCLUSIVE CONEXÕES - </t>
    </r>
    <r>
      <rPr>
        <b/>
        <sz val="10"/>
        <rFont val="Cambria"/>
        <family val="1"/>
      </rPr>
      <t>ALIMENTAÇÃO, RAMAL E SUB-RAMAL</t>
    </r>
  </si>
  <si>
    <t>5.6.2</t>
  </si>
  <si>
    <t>5.6.3</t>
  </si>
  <si>
    <t>CAIXA D´ÁGUA EM POLIETILENO, 500 LITROS (INCLUSOS TUBOS, CONEXÕES E TORNEIRA DE BÓIA) - FORNECIMENTO E INSTALAÇÃO. AF_06/2021</t>
  </si>
  <si>
    <t>REGISTRO DE GAVETA BRUTO, LATÃO, ROSCÁVEL, 3/4" - FORNECIMENTO E INSTALAÇÃO. AF_08/2021</t>
  </si>
  <si>
    <t>KIT DE REGISTRO DE PRESSÃO BRUTO DE LATÃO ¾", INCLUSIVE CONEXÕES, ROSCÁVEL, INSTALADO EM RAMAL DE ÁGUA FRIA - FORNECIMENTO E INSTALAÇÃO. AF_12/2014</t>
  </si>
  <si>
    <t>REGISTRO DE ESFERA, PVC, ROSCÁVEL, COM BORBOLETA, 3/4" - FORNECIMENTO E INSTALAÇÃO. AF_08/2021</t>
  </si>
  <si>
    <t>ESGOTO SANITÁRIO</t>
  </si>
  <si>
    <t>5.6.4</t>
  </si>
  <si>
    <t>5.6.5</t>
  </si>
  <si>
    <t>5.6.6</t>
  </si>
  <si>
    <t>5.6.7</t>
  </si>
  <si>
    <t>TUBO PVC, SERIE NORMAL, ESGOTO PREDIAL, DN 100 MM, FORNECIDO E INSTALADO EM RAMAL DE DESCARGA OU RAMAL DE ESGOTO SANITÁRIO. AF_08/2022</t>
  </si>
  <si>
    <t>TUBO PVC, SERIE NORMAL, ESGOTO PREDIAL, DN 75 MM, FORNECIDO E INSTALADO EM RAMAL DE DESCARGA OU RAMAL DE ESGOTO SANITÁRIO. AF_08/2022</t>
  </si>
  <si>
    <t>5.6.8</t>
  </si>
  <si>
    <t>5.6.9</t>
  </si>
  <si>
    <t>TUBO PVC, SERIE NORMAL, ESGOTO PREDIAL, DN 40 MM, FORNECIDO E INSTALADO EM RAMAL DE DESCARGA OU RAMAL DE ESGOTO SANITÁRIO. AF_08/2022</t>
  </si>
  <si>
    <t>RALO SECO, PVC, DN 100 X 40 MM, JUNTA SOLDÁVEL, FORNECIDO E INSTALADO EM RAMAL DE DESCARGA OU EM RAMAL DE ESGOTO SANITÁRIO. AF_08/2022</t>
  </si>
  <si>
    <t>CAIXA SIFONADA, PVC, DN 150 X 185 X 75 MM, JUNTA ELÁSTICA, FORNECIDA E INSTALADA EM RAMAL DE DESCARGA OU EM RAMAL DE ESGOTO SANITÁRIO. AF_08/2022</t>
  </si>
  <si>
    <t>TUBO PVC, SERIE NORMAL, ESGOTO PREDIAL, DN 50 MM, FORNECIDO E INSTALADO EM PRUMADA DE ESGOTO SANITÁRIO OU VENTILAÇÃO. AF_08/2022</t>
  </si>
  <si>
    <t>TERMINAL DE VENTILAÇÃO, PVC, SÉRIE NORMAL, ESGOTO PREDIAL, DN 50 MM, JUNTA SOLDÁVEL, FORNECIDO E INSTALADO EM PRUMADA DE ESGOTO SANITÁRIO OU VENTILAÇÃO. AF_08/2022</t>
  </si>
  <si>
    <t>JUNÇÃO DE REDUCAO INVERTIDA, PVC, SÉRIE NORMAL, ESGOTO PREDIAL, DN 100 X 75 MM, JUNTA ELÁSTICA, FORNECIDO E INSTALADO EM RAMAL DE DESCARGA OU RAMAL DE ESGOTO SANITÁRIO. AF_08/2022</t>
  </si>
  <si>
    <t>CURVA CURTA 90 GRAUS, PVC, SERIE NORMAL, ESGOTO PREDIAL, DN 100 MM, JUNTA ELÁSTICA, FORNECIDO E INSTALADO EM RAMAL DE DESCARGA OU RAMAL DE ESGOTO SANITÁRIO. AF_08/2022</t>
  </si>
  <si>
    <t>CURVA CURTA 90 GRAUS, PVC, SERIE NORMAL, ESGOTO PREDIAL, DN 40 MM, JUNTA SOLDÁVEL, FORNECIDO E INSTALADO EM RAMAL DE DESCARGA OU RAMAL DE ESGOTO SANITÁRIO. AF_08/2022</t>
  </si>
  <si>
    <t>TE, PVC, SÉRIE NORMAL, ESGOTO PREDIAL, DN 100 X 50 MM, JUNTA ELÁSTICA, FORNECIDO E INSTALADO EM PRUMADA DE ESGOTO SANITÁRIO OU VENTILAÇÃO. AF_08/2022</t>
  </si>
  <si>
    <t>JOELHO 45 GRAUS, PVC, SERIE NORMAL, ESGOTO PREDIAL, DN 75 MM, JUNTA ELÁSTICA, FORNECIDO E INSTALADO EM RAMAL DE DESCARGA OU RAMAL DE ESGOTO SANITÁRIO. AF_08/2022</t>
  </si>
  <si>
    <t>CAIXA ENTERRADA HIDRÁULICA RETANGULAR, EM ALVENARIA COM BLOCOS DE CONCRETO, DIMENSÕES INTERNAS: 0,6X0,6X0,6 M PARA REDE DE ESGOTO. AF_12/2020</t>
  </si>
  <si>
    <t>5.6.10</t>
  </si>
  <si>
    <t>5.6.11</t>
  </si>
  <si>
    <t>5.6.12</t>
  </si>
  <si>
    <t>5.6.13</t>
  </si>
  <si>
    <t>5.6.14</t>
  </si>
  <si>
    <t>5.6.15</t>
  </si>
  <si>
    <t>5.6.16</t>
  </si>
  <si>
    <t>5.6.17</t>
  </si>
  <si>
    <t>5.6.18</t>
  </si>
  <si>
    <t>5.6.19</t>
  </si>
  <si>
    <t>5.6.20</t>
  </si>
  <si>
    <t>5.6.21</t>
  </si>
  <si>
    <t>HM07130</t>
  </si>
  <si>
    <t>VÁLVULA RETENÇÃO PVC DN=100 MM HORIZONTAL COM BOLSAS, ESGOTO PREDIAL</t>
  </si>
  <si>
    <t>LAVATÓRIO LOUÇA BRANCA COM COLUNA, *44 X 35,5* CM, PADRÃO POPULAR, INCLUSO SIFÃO FLEXÍVEL EM PVC, VÁLVULA E ENGATE FLEXÍVEL 30CM EM PLÁSTICO E COM TORNEIRA CROMADA PADRÃO POPULAR - FORNECIMENTO E INSTALAÇÃO. AF_01/2020</t>
  </si>
  <si>
    <t>VASO SANITÁRIO SIFONADO COM CAIXA ACOPLADA LOUÇA BRANCA, INCLUSO ENGATE FLEXÍVEL EM PLÁSTICO BRANCO, 1/2 X 40CM - FORNECIMENTO E INSTALAÇÃO. AF_01/2020</t>
  </si>
  <si>
    <t>CHUVEIRO ELÉTRICO COMUM CORPO PLÁSTICO, TIPO DUCHA  FORNECIMENTO E INSTALAÇÃO. AF_01/2020</t>
  </si>
  <si>
    <t>BANCADA DE MÁRMORE SINTÉTICO 120 X 60CM, COM CUBA INTEGRADA, INCLUSO SIFÃO TIPO FLEXÍVEL EM PVC, VÁLVULA EM PLÁSTICO CROMADO TIPO AMERICANA E TORNEIRA CROMADA LONGA, DE PAREDE, PADRÃO POPULAR - FORNECIMENTO E INSTALAÇÃO. AF_01/2020</t>
  </si>
  <si>
    <t>5.10.2</t>
  </si>
  <si>
    <t>5.10.3</t>
  </si>
  <si>
    <t>5.10.4</t>
  </si>
  <si>
    <t>5.10.5</t>
  </si>
  <si>
    <t>TORNEIRA CROMADA 1/2 OU 3/4 PARA LIMPEZA/JARDIM, PADRÃO POPULAR - FORNECIMENTO E INSTALAÇÃO. AF_01/2020</t>
  </si>
  <si>
    <r>
      <t xml:space="preserve">DISJUNTOR BIPOLAR TIPO DIN, CORRENTE NOMINAL DE 32A - FORNECIMENTO E INSTALAÇÃO. AF_10/2020 - </t>
    </r>
    <r>
      <rPr>
        <b/>
        <sz val="10"/>
        <rFont val="Cambria"/>
        <family val="1"/>
      </rPr>
      <t>CHUVEIRO</t>
    </r>
  </si>
  <si>
    <t>DISJUNTOR TRIPOLAR TIPO NEMA, CORRENTE NOMINAL DE 100A - FORNECIMENTO E INSTALAÇÃO. AF_10/2020</t>
  </si>
  <si>
    <t>FIOS E CABOS</t>
  </si>
  <si>
    <t>ILUMINAÇÃO E TOMADAS</t>
  </si>
  <si>
    <t>37.17.090</t>
  </si>
  <si>
    <t>CABO DE COBRE FLEXÍVEL ISOLADO, 16 MM², ANTI-CHAMA 0,6/1,0 KV, PARA DISTRIBUIÇÃO - FORNECIMENTO E INSTALAÇÃO. AF_12/2015</t>
  </si>
  <si>
    <t>CABO DE COBRE FLEXÍVEL ISOLADO, 6 MM², ANTI-CHAMA 450/750 V, PARA CIRCUITOS TERMINAIS - FORNECIMENTO E INSTALAÇÃO. AF_12/2015</t>
  </si>
  <si>
    <t>CABO DE COBRE FLEXÍVEL ISOLADO, 2,5 MM², ANTI-CHAMA 450/750 V, PARA CIRCUITOS TERMINAIS - FORNECIMENTO E INSTALAÇÃO. AF_12/2015</t>
  </si>
  <si>
    <t>CABO DE COBRE FLEXÍVEL ISOLADO, 1,5 MM², ANTI-CHAMA 450/750 V, PARA CIRCUITOS TERMINAIS - FORNECIMENTO E INSTALAÇÃO. AF_12/2015</t>
  </si>
  <si>
    <t>5.11.2</t>
  </si>
  <si>
    <t>5.11.3</t>
  </si>
  <si>
    <t>PINTURA COM TINTA ALQUÍDICA DE ACABAMENTO (ESMALTE SINTÉTICO ACETINADO) PULVERIZADA SOBRE SUPERFÍCIES METÁLICAS (EXCETO PERFIL) EXECUTADO EM OBRA (POR DEMÃO). AF_01/2020_PE</t>
  </si>
  <si>
    <t>5.1.9</t>
  </si>
  <si>
    <t>LASTRO COM MATERIAL GRANULAR, ESPESSURA DE *5 CM*. AF_01/2024</t>
  </si>
  <si>
    <t>01.06.041</t>
  </si>
  <si>
    <r>
      <t xml:space="preserve">PORTA VENEZIANA DE ABRIR EM ALUMÍNIO, SOB MEDIDAL  - </t>
    </r>
    <r>
      <rPr>
        <b/>
        <sz val="10"/>
        <rFont val="Cambria"/>
        <family val="1"/>
      </rPr>
      <t>1,50x2,10m</t>
    </r>
  </si>
  <si>
    <r>
      <t xml:space="preserve">PORTA EM ALUMÍNIO DE ABRIR TIPO VENEZIANA COM GUARNIÇÃO, FIXAÇÃO COM PARAFUSOS - FORNECIMENTO E INSTALAÇÃO. AF_12/2019 - </t>
    </r>
    <r>
      <rPr>
        <b/>
        <sz val="10"/>
        <rFont val="Cambria"/>
        <family val="1"/>
      </rPr>
      <t>3x(0,80x2,10m)</t>
    </r>
  </si>
  <si>
    <r>
      <t xml:space="preserve">PORTA DE ENROLAR MANUAL, CEGA OU VAZADA - </t>
    </r>
    <r>
      <rPr>
        <b/>
        <sz val="10"/>
        <rFont val="Cambria"/>
        <family val="1"/>
      </rPr>
      <t>2,80x3,00m</t>
    </r>
  </si>
  <si>
    <t>5.6.22</t>
  </si>
  <si>
    <t xml:space="preserve"> REGISTRO DE ESFERA, PVC, ROSCÁVEL, COM VOLANTE, 1" - FORNECIMENTO E INSTALAÇÃO. AF_08/2021</t>
  </si>
  <si>
    <t>5.11.4</t>
  </si>
  <si>
    <t>5.11.5</t>
  </si>
  <si>
    <t>FUNDO SELADOR ACRÍLICO, APLICAÇÃO MANUAL EM TETO, UMA DEMÃO. AF_04/2023</t>
  </si>
  <si>
    <t>PINTURA LÁTEX ACRÍLICA PREMIUM, APLICAÇÃO MANUAL EM TETO, DUAS DEMÃOS. AF_04/2023</t>
  </si>
  <si>
    <t>7.1.1</t>
  </si>
  <si>
    <t>RESERVATÓRIO APOIADO METÁLICO (2.650m3)</t>
  </si>
  <si>
    <t>7.1.2</t>
  </si>
  <si>
    <t>7.2.1</t>
  </si>
  <si>
    <t>5.1.10</t>
  </si>
  <si>
    <t>FABRICAÇÃO, MONTAGEM E DESMONTAGEM DE FÔRMA PARA BLOCO DE COROAMENTO, EM CHAPA DE MADEIRA COMPENSADA RESINADA, E=17 MM, 2 UTILIZAÇÕES. AF_01/2024</t>
  </si>
  <si>
    <r>
      <t xml:space="preserve">CARGA, MANOBRA E DESCARGA DE SOLOS E MATERIAIS GRANULARES EM CAMINHÃO BASCULANTE 10 M³ - CARGA COM PÁ CARREGADEIRA (CAÇAMBA DE 1,7 A 2,8 M³ / 128 HP) E DESCARGA LIVRE (UNIDADE: M3). AF_07/2020 - </t>
    </r>
    <r>
      <rPr>
        <b/>
        <sz val="10"/>
        <rFont val="Cambria"/>
        <family val="1"/>
      </rPr>
      <t>BOTA-FORA</t>
    </r>
  </si>
  <si>
    <r>
      <t xml:space="preserve">TRANSPORTE COM CAMINHÃO BASCULANTE DE 10 M³, EM VIA URBANA PAVIMENTADA, DMT ATÉ 30 KM (UNIDADE: M3XKM). AF_07/2020 - </t>
    </r>
    <r>
      <rPr>
        <b/>
        <sz val="10"/>
        <rFont val="Cambria"/>
        <family val="1"/>
      </rPr>
      <t>BOTA-FORA</t>
    </r>
  </si>
  <si>
    <t>ESCAVAÇÃO MECANIZADA DE VALA COM PROFUNDIDADE ATÉ 1,5 M (MÉDIA MONTANTE E JUSANTE/UMA COMPOSIÇÃO POR TRECHO), RETROESCAV. (0,26 M3), LARGURA MENOR QUE 0,8 M, EM SOLO DE 1A CATEGORIA, LOCAIS COM BAIXO NÍVEL DE INTERFERÊNCIA. AF_02/2021</t>
  </si>
  <si>
    <t>REATERRO MECANIZADO DE VALA COM RETROESCAVADEIRA (CAPACIDADE DA CAÇAMBA DA RETRO: 0,26 M³/POTÊNCIA: 88 HP), LARGURA ATÉ 0,8 M, PROFUNDIDADE ATÉ 1,5 M, COM SOLO (SEM SUBSTITUIÇÃO) DE 1ª CATEGORIA, COM COMPACTADOR DE SOLOS DE PERCUSSÃO. AF_08/2023</t>
  </si>
  <si>
    <t>HM03585</t>
  </si>
  <si>
    <t>HM03587</t>
  </si>
  <si>
    <t>TUBO C/FLANGES PN10 FERRO FUNDIDO DN=200 MM L=2.000 MM * (89,60 KG) PINTURA BETUMINOSA, ACESSÓRIOS NÃO INCLUSOS NBR 7675 ÁGUA</t>
  </si>
  <si>
    <t>TUBO C/FLANGES PN10 FERRO FUNDIDO DN=200 MM L=1.000 MM * (54,80 KG) PINTURA BETUMINOSA, ACESSÓRIOS NÃO INCLUSOS NBR 7675 ÁGUA</t>
  </si>
  <si>
    <t>HM03617</t>
  </si>
  <si>
    <t>TUBO C/FLANGES PN10 FERRO FUNDIDO DN=300 MM L=5.800 MM * (367,18 KG) PINTURA BETUMINOSA, ACESSÓRIOS NÃO INCLUSOS NBR 7675 ÁGUA</t>
  </si>
  <si>
    <t>HM03983</t>
  </si>
  <si>
    <r>
      <t xml:space="preserve">TUBO C/FLANGE PN10 E PONTA FERRO FUNDIDO DN=300 MM COMP. APROXIMADO DE 4.000 MM * (246,40 KG) PINTURA BETUMINOSA, ACESSÓRIOS NÃO INCLUSOS NBR 7675 ÁGUA - </t>
    </r>
    <r>
      <rPr>
        <b/>
        <sz val="10"/>
        <rFont val="Cambria"/>
        <family val="1"/>
      </rPr>
      <t>CONFIRMAR MEDIDAS NO LOCAL ANTES DA AQUISIÇÃO DOS TUBOS</t>
    </r>
  </si>
  <si>
    <t>8.1.1</t>
  </si>
  <si>
    <t>8.1.2</t>
  </si>
  <si>
    <t>8.2.1</t>
  </si>
  <si>
    <t>8.2.2</t>
  </si>
  <si>
    <t>8.2.3</t>
  </si>
  <si>
    <t>8.2.4</t>
  </si>
  <si>
    <t>8.3.1</t>
  </si>
  <si>
    <t>8.3.2</t>
  </si>
  <si>
    <t>HM03409</t>
  </si>
  <si>
    <t>TÊ COM FLANGES PN10 FERRO FUNDIDO DN=250 X 250 MM * (80,00 KG) PINTURA BETUMINOSA, ACESSÓRIOS NÃO INCLUSOS NBR 7675 ÁGUA</t>
  </si>
  <si>
    <t>8.3.3</t>
  </si>
  <si>
    <t>8.3.4</t>
  </si>
  <si>
    <t>8.3.5</t>
  </si>
  <si>
    <t>8.3.6</t>
  </si>
  <si>
    <t>8.3.7</t>
  </si>
  <si>
    <t>8.3.8</t>
  </si>
  <si>
    <t>8.3.9</t>
  </si>
  <si>
    <t>8.3.10</t>
  </si>
  <si>
    <t>8.3.11</t>
  </si>
  <si>
    <t>8.3.12</t>
  </si>
  <si>
    <t>8.3.13</t>
  </si>
  <si>
    <t>8.3.14</t>
  </si>
  <si>
    <t>8.3.15</t>
  </si>
  <si>
    <t>8.3.16</t>
  </si>
  <si>
    <t>8.3.17</t>
  </si>
  <si>
    <t>8.3.18</t>
  </si>
  <si>
    <t>8.3.19</t>
  </si>
  <si>
    <t>8.3.20</t>
  </si>
  <si>
    <t>8.3.21</t>
  </si>
  <si>
    <t>8.4.1</t>
  </si>
  <si>
    <t>8.4.2</t>
  </si>
  <si>
    <t>HM03958</t>
  </si>
  <si>
    <t>TUBO C/FLANGES PN10 FERRO FUNDIDO DN=200 MM L=5.800 MM * (221,84 KG) PINTURA BETUMINOSA, ACESSÓRIOS NÃO INCLUSOS NBR 7675 ÁGUA</t>
  </si>
  <si>
    <t>HM03595</t>
  </si>
  <si>
    <t>8.3.22</t>
  </si>
  <si>
    <t>1.2.2</t>
  </si>
  <si>
    <t>1.2.3</t>
  </si>
  <si>
    <t>1.2.4</t>
  </si>
  <si>
    <t>1.2.5</t>
  </si>
  <si>
    <t>1.2.6</t>
  </si>
  <si>
    <t>1.2.7</t>
  </si>
  <si>
    <t>1.2.8</t>
  </si>
  <si>
    <t>1.2.9</t>
  </si>
  <si>
    <t>1.2.10</t>
  </si>
  <si>
    <t>2.4</t>
  </si>
  <si>
    <t>2.5</t>
  </si>
  <si>
    <t>CARGA, MANOBRA E DESCARGA DE SOLOS E MATERIAIS GRANULARES EM CAMINHÃO BASCULANTE 14 M³ - CARGA COM PÁ CARREGADEIRA (CAÇAMBA DE 1,7 A 2,8 M³ / 128 HP) E DESCARGA LIVRE (UNIDADE: M3). AF_07/2020</t>
  </si>
  <si>
    <t>TRANSPORTE COM CAMINHÃO BASCULANTE DE 14 M³, EM VIA URBANA PAVIMENTADA, DMT ATÉ 30 KM (UNIDADE: M3XKM). AF_07/2020</t>
  </si>
  <si>
    <t>RECOMPOSIÇÃO DE PAVIMENTAÇÃO ASFALTICA</t>
  </si>
  <si>
    <t>ESCORAMENTO DE VALAS H=1.50m COM MADEIRA DE LEI-REAPR.20X</t>
  </si>
  <si>
    <t>020033</t>
  </si>
  <si>
    <t>5.7.2</t>
  </si>
  <si>
    <t>BANHEIRO</t>
  </si>
  <si>
    <t>CHAPISCO APLICADO EM ALVENARIAS E ESTRUTURAS DE CONCRETO INTERNAS, COM COLHER DE PEDREIRO. ARGAMASSA TRAÇO 1:3 COM PREPARO EM BETONEIRA 400L. AF_10/2022</t>
  </si>
  <si>
    <t xml:space="preserve">EMBOÇO, PARA RECEBIMENTO DE CERÂMICA, EM ARGAMASSA TRAÇO 1:2:8, PREPARO MECÂNICO COM BETONEIRA 400L, APLICADO MANUALMENTE EM FACES INTERNAS DE PAREDES, PARA AMBIENTE COM ÁREA MENOR QUE 5M2, ESPESSURA DE 10MM, COM EXECUÇÃO DE TALISCAS. AF_06/2014 </t>
  </si>
  <si>
    <t xml:space="preserve">REVESTIMENTO CERÂMICO PARA PAREDES INTERNAS COM PLACAS TIPO ESMALTADA EXTRA DE DIMENSÕES 20X20 CM APLICADAS A MEIA ALTURA DAS PAREDES. AF_02/2023_PE </t>
  </si>
  <si>
    <t>5.9.4</t>
  </si>
  <si>
    <t>5.9.5</t>
  </si>
  <si>
    <t>5.9.6</t>
  </si>
  <si>
    <t>CASA DE QUÍMICA</t>
  </si>
  <si>
    <t>5.12</t>
  </si>
  <si>
    <t>5.12.1</t>
  </si>
  <si>
    <t>5.12.2</t>
  </si>
  <si>
    <t>5.12.3</t>
  </si>
  <si>
    <t>48.02.400</t>
  </si>
  <si>
    <r>
      <t xml:space="preserve">REVESTIMENTO CERÂMICO PARA PISO COM PLACAS TIPO ESMALTADA EXTRA DE DIMENSÕES 35X35 CM APLICADA EM AMBIENTES DE ÁREA MENOR QUE 5 M2. AF_02/2023_PE - </t>
    </r>
    <r>
      <rPr>
        <b/>
        <sz val="10"/>
        <rFont val="Cambria"/>
        <family val="1"/>
      </rPr>
      <t>BANHEIRO, SALA OPERADOR E CASA DE QUÍMICA</t>
    </r>
  </si>
  <si>
    <r>
      <t xml:space="preserve">RODAPÉ CERÂMICO DE 7CM DE ALTURA COM PLACAS TIPO ESMALTADA COMERCIAL DE DIMENSÕES 35X35CM (PADRAO POPULAR). AF_02/2023 -  </t>
    </r>
    <r>
      <rPr>
        <b/>
        <sz val="10"/>
        <rFont val="Cambria"/>
        <family val="1"/>
      </rPr>
      <t>SALA OPERADOR E CASA DE QUÍMICA</t>
    </r>
  </si>
  <si>
    <t>BOMBA DOSADORA ELETROMAGNÉTICA DO TIPO DIAFRAGMA, COM 3 VIAS. ENTRADA, SAÍDA E VIA DE EXPURGO</t>
  </si>
  <si>
    <t>CARGA, MANOBRA E DESCARGA DE ENTULHO EM CAMINHÃO BASCULANTE 14 M³ - CARGA COM ESCAVADEIRA HIDRÁULICA (CAÇAMBA DE 0,80 M³ / 111 HP) E DESCARGA LIVRE (UNIDADE: M3). AF_07/2020</t>
  </si>
  <si>
    <t>TRANSPORTE COM CAMINHÃO BASCULANTE DE 14 M³, EM VIA URBANA EM REVESTIMENTO PRIMÁRIO (UNIDADE: M3XKM). AF_07/2020</t>
  </si>
  <si>
    <t>3.6</t>
  </si>
  <si>
    <t>GUIA, SARJETA E CALÇADA EXTERNA</t>
  </si>
  <si>
    <t>3.6.1</t>
  </si>
  <si>
    <t>CINTA DE AMARRAÇÃO DE ALVENARIA MOLDADA IN LOCO COM UTILIZAÇÃO DE BLOCOS CANALETA, ARMADAS COM 2 BARRAS CA-50 D=8,00MM, CORRIDO. AF_03/2016</t>
  </si>
  <si>
    <t>ALVENARIA DE VEDAÇÃO DE BLOCOS VAZADOS DE CONCRETO APARENTE DE 19X19X39 CM (ESPESSURA 19 CM) E ARGAMASSA DE ASSENTAMENTO COM PREPARO EM BETONEIRA. AF_12/2021</t>
  </si>
  <si>
    <r>
      <t xml:space="preserve">CABO DE COBRE FLEXÍVEL ISOLADO, 2,5 MM², ANTI-CHAMA 0,6/1,0 KV, PARA CIRCUITOS TERMINAIS - FORNECIMENTO E INSTALAÇÃO. AF_03/2023 - </t>
    </r>
    <r>
      <rPr>
        <b/>
        <sz val="10"/>
        <rFont val="Cambria"/>
        <family val="1"/>
      </rPr>
      <t>CIRCUITO:</t>
    </r>
    <r>
      <rPr>
        <sz val="10"/>
        <rFont val="Cambria"/>
        <family val="1"/>
      </rPr>
      <t xml:space="preserve"> </t>
    </r>
    <r>
      <rPr>
        <b/>
        <sz val="10"/>
        <rFont val="Cambria"/>
        <family val="1"/>
      </rPr>
      <t>ILUM</t>
    </r>
  </si>
  <si>
    <t>68.01.600</t>
  </si>
  <si>
    <t>ELETRODUTO FLEXÍVEL CORRUGADO, PEAD, DN 50 (1 1/2"), PARA REDE ENTERRADA DE DISTRIBUIÇÃO DE ENERGIA ELÉTRICA - FORNECIMENTO E INSTALAÇÃO. AF_12/2021</t>
  </si>
  <si>
    <t>CAIXA ENTERRADA ELÉTRICA RETANGULAR, EM ALVENARIA COM BLOCOS DE CONCRETO, FUNDO COM BRITA, DIMENSÕES INTERNAS: 0,4X0,4X0,4 M. AF_12/2020</t>
  </si>
  <si>
    <t>REFLETOR EM ALUMÍNIO, DE SUPORTE E ALÇA, COM LÂMPADA VAPOR DE MERCÚRIO DE 250 W, COM REATOR ALTO FATOR DE POTÊNCIA - FORNECIMENTO E INSTALAÇÃO. AF_02/2020</t>
  </si>
  <si>
    <t>3.7</t>
  </si>
  <si>
    <t>CAIXA ENTERRADA ELÉTRICA RETANGULAR, EM ALVENARIA COM BLOCOS DE CONCRETO, FUNDO COM BRITA, DIMENSÕES INTERNAS: 0,8X0,8X0,6 M. AF_12/2020</t>
  </si>
  <si>
    <t>CAIXA ENTERRADA ELÉTRICA RETANGULAR, EM ALVENARIA COM BLOCOS DE CONCRETO, FUNDO COM BRITA, DIMENSÕES INTERNAS: 1X1X0,6 M. AF_12/2020</t>
  </si>
  <si>
    <t>ELETRODUTO FLEXÍVEL CORRUGADO, PEAD, DN 100 (4"), PARA REDE ENTERRADA DE DISTRIBUIÇÃO DE ENERGIA ELÉTRICA - FORNECIMENTO E INSTALAÇÃO. AF_12/2021</t>
  </si>
  <si>
    <t>38,04.060</t>
  </si>
  <si>
    <r>
      <t xml:space="preserve">PEÇA RETANGULAR PRÉ-MOLDADA, VOLUME DE CONCRETO ACIMA DE 100 LITROS, TAXA DE AÇO APROXIMADA DE 30KG/M³. AF_01/2018 - </t>
    </r>
    <r>
      <rPr>
        <b/>
        <sz val="10"/>
        <rFont val="Cambria"/>
        <family val="1"/>
      </rPr>
      <t>TAMPA ESP. 8CM</t>
    </r>
  </si>
  <si>
    <t>49.06.410</t>
  </si>
  <si>
    <t>CAIXA RETANGULAR EM ALVENARIA COM BLOCOS DE CONCRETO, DIMENSÕES INTERNAS = 1,5X1,5 M, PROFUNDIDADE = 1,40 M, EXCLUINDO TAMPÃO. AF_12/2020_PA</t>
  </si>
  <si>
    <t>CAIXAS ENTERRADAS - MEDIDOR DE VAZÃO (1,50x1,50x1,40m)</t>
  </si>
  <si>
    <t>CAIXA ENTERRADA - REGISTRO (1,50x1,50x1,40m)</t>
  </si>
  <si>
    <t>ELETRODUTO FLEXÍVEL CORRUGADO, PEAD, DN 50 (1 1/2"), PARA REDE ENTERRADA - FORNECIMENTO E INSTALAÇÃO. AF_12/2021</t>
  </si>
  <si>
    <t>3.5.2</t>
  </si>
  <si>
    <t>3.5.3</t>
  </si>
  <si>
    <t>3.5.4</t>
  </si>
  <si>
    <t>GUIA (MEIO-FIO) CONCRETO, MOLDADA IN LOCO EM TRECHO RETO COM EXTRUSORA, 15 CM BASE X 30 CM ALTURA. AF_01/2024</t>
  </si>
  <si>
    <t>3.5.5</t>
  </si>
  <si>
    <t>3.5.6</t>
  </si>
  <si>
    <t>3.5.7</t>
  </si>
  <si>
    <t>GUIA (MEIO-FIO) E SARJETA CONJUGADOS DE CONCRETO, MOLDADA IN LOCO EM TRECHO CURVO COM EXTRUSORA, 60 CM BASE (15 CM BASE DA GUIA + 45 CM BASE DA SARJETA) X 26 CM ALTURA. AF_01/2024</t>
  </si>
  <si>
    <t>GUIA (MEIO-FIO) E SARJETA CONJUGADOS DE CONCRETO, MOLDADA IN LOCO EM TRECHO RETO COM EXTRUSORA, 60 CM BASE (15 CM BASE DA GUIA + 45 CM BASE DA SARJETA) X 26 CM ALTURA. AF_01/2024</t>
  </si>
  <si>
    <t>3.7.1</t>
  </si>
  <si>
    <t>EXECUÇÃO DE PASSEIO (CALÇADA) OU PISO DE CONCRETO COM CONCRETO MOLDADO IN LOCO, USINADO, ACABAMENTO CONVENCIONAL, ESPESSURA 6 CM, ARMADO. AF_08/2022</t>
  </si>
  <si>
    <t>BASE DE CONCRETO POÇO PROFUNDO</t>
  </si>
  <si>
    <t>CAIXA DRENO (1,00x1,00x1,40m)</t>
  </si>
  <si>
    <t>CAIXA RETANGULAR, EM ALVENARIA COM BLOCOS DE CONCRETO, DIMENSÕES INTERNAS = 1X1 M, PROFUNDIDADE = 1,40 M, EXCLUINDO TAMPÃO. AF_12/2020_PA</t>
  </si>
  <si>
    <t>LASTRO COM MATERIAL GRANULAR (PEDRA BRITADA N.2), APLICADO SOBRE SOLO, ESPESSURA DE *10 CM*. AF_01/2024</t>
  </si>
  <si>
    <t>CAIXA ENTERRADA HIDRÁULICA RETANGULAR, EM ALVENARIA COM BLOCOS DE CONCRETO, DIMENSÕES INTERNAS: 0,4X0,4X0,4 M. AF_12/2020</t>
  </si>
  <si>
    <t>TUBO PVC, SÉRIE R, DN 50 MM, FORNECIDO E INSTALADO EM RAMAL DE ENCAMINHAMENTO. AF_06/2022</t>
  </si>
  <si>
    <t>3.5.8</t>
  </si>
  <si>
    <t>INFRAESTRUTURA DESTINADA ÀS INSTALAÇÕES ELÉTRICAS</t>
  </si>
  <si>
    <t>INFRAESTRUTURA DESTINADA ÀS INSTALAÇÕES PARA AUTOMAÇÃO</t>
  </si>
  <si>
    <t>3.6.2</t>
  </si>
  <si>
    <t>3.6.3</t>
  </si>
  <si>
    <t>3.6.4</t>
  </si>
  <si>
    <t>3.8</t>
  </si>
  <si>
    <t>3.8.1</t>
  </si>
  <si>
    <t>3.8.2</t>
  </si>
  <si>
    <t>3.8.3</t>
  </si>
  <si>
    <t>FUNDAÇÃO, VIGAS BALDRAMES E IMPERMEABILIZAÇÃO</t>
  </si>
  <si>
    <t>5.1.11</t>
  </si>
  <si>
    <t>IMPERMEABILIZAÇÃO DE SUPERFÍCIE COM EMULSÃO ASFÁLTICA, 2 DEMÃOS. AF_09/2023</t>
  </si>
  <si>
    <t>5.3.8</t>
  </si>
  <si>
    <r>
      <t xml:space="preserve">ALVENARIA DE EMBASAMENTO COM BLOCO ESTRUTURAL DE CONCRETO, DE 14X19X29CM E ARGAMASSA DE ASSENTAMENTO COM PREPARO EM BETONEIRA. AF_05/2020 - </t>
    </r>
    <r>
      <rPr>
        <b/>
        <sz val="10"/>
        <rFont val="Cambria"/>
        <family val="1"/>
      </rPr>
      <t>SÓCULO H=0,20m PAINÉIS ELÉTRICOS</t>
    </r>
  </si>
  <si>
    <r>
      <t xml:space="preserve"> ALVENARIA DE EMBASAMENTO COM BLOCO ESTRUTURAL DE CONCRETO, DE 14X19X29CM E ARGAMASSA DE ASSENTAMENTO COM PREPARO EM BETONEIRA. AF_05/2020 - </t>
    </r>
    <r>
      <rPr>
        <b/>
        <sz val="10"/>
        <rFont val="Cambria"/>
        <family val="1"/>
      </rPr>
      <t>CANALETA CANALIZAÇÕES CASA DE BOMBAS</t>
    </r>
  </si>
  <si>
    <t>5.1.12</t>
  </si>
  <si>
    <r>
      <t xml:space="preserve"> LASTRO COM MATERIAL GRANULAR (PEDRA BRITADA N.2), APLICADO EM PISOS OU LAJES SOBRE SOLO, ESPESSURA DE *10 CM*. AF_01/2024 - </t>
    </r>
    <r>
      <rPr>
        <b/>
        <sz val="10"/>
        <rFont val="Cambria"/>
        <family val="1"/>
      </rPr>
      <t>CANALETA CANALIZAÇÕES CASA DE BOMBAS</t>
    </r>
  </si>
  <si>
    <t>5.1.13</t>
  </si>
  <si>
    <t>5.5.9</t>
  </si>
  <si>
    <t>24.03.340</t>
  </si>
  <si>
    <r>
      <t xml:space="preserve">TAMPA EM CHAPA DE SEGURANÇA TIPO XADREZ, AÇO GALVANIZADO A FOGO ANTIDERRAPANTE DE 1/4´ - </t>
    </r>
    <r>
      <rPr>
        <b/>
        <sz val="10"/>
        <rFont val="Cambria"/>
        <family val="1"/>
      </rPr>
      <t>CANALETAS CASA DE BOMAS</t>
    </r>
  </si>
  <si>
    <t>38.01.060</t>
  </si>
  <si>
    <t>ELETRODUTO EM ALUMÍNIO DN 1", COM ACESSÓRIOS, FIXADO NA ESTRUTURA DO RESERVATÓRIO ELEVADO</t>
  </si>
  <si>
    <t>ELETROCALHAS, ELETRODUTOS E ACESSÓRIOS</t>
  </si>
  <si>
    <t>28.21.940</t>
  </si>
  <si>
    <t>38.21.920</t>
  </si>
  <si>
    <t>38.01.120</t>
  </si>
  <si>
    <t>ELETROCALHA PERFURADA GALVANIZADA A FOGO, 200 X 50 MM, COM ACESSÓRIOS</t>
  </si>
  <si>
    <t>ELETROCALHA PERFURADA GALVANIZADA A FOGO, 100 X 50 MM, COM ACESSÓRIOS</t>
  </si>
  <si>
    <r>
      <t xml:space="preserve">ELETRODUTO DE PVC RÍGIDO ROSCÁVEL DE 2´ - COM ACESSÓRIOS - </t>
    </r>
    <r>
      <rPr>
        <b/>
        <sz val="10"/>
        <rFont val="Cambria"/>
        <family val="1"/>
      </rPr>
      <t>ALIMENTAÇÃO QD</t>
    </r>
  </si>
  <si>
    <t>QUADRO DE DISTRIBUIÇÃO (QD)</t>
  </si>
  <si>
    <t>5.7.3</t>
  </si>
  <si>
    <t>5.7.4</t>
  </si>
  <si>
    <t>38.07.300</t>
  </si>
  <si>
    <t>PERFILADO PERFURADO 38 X 38 MM EM CHAPA 14 PRÉ-ZINCADA, COM ACESSÓRIOS, INCLUSIVE ESTRUTURA DE FIXAÇÃO</t>
  </si>
  <si>
    <t>5.7.5</t>
  </si>
  <si>
    <t>5.7.6</t>
  </si>
  <si>
    <t>5.7.7</t>
  </si>
  <si>
    <t>5.7.8</t>
  </si>
  <si>
    <t>5.7.9</t>
  </si>
  <si>
    <t>QUADRO DE DISTRIBUIÇÃO DE ENERGIA EM CHAPA DE AÇO GALVANIZADO, DE SOBREPOR, COM BARRAMENTO TRIFÁSICO, PARA 18 DISJUNTORES DIN 100A - FORNECIMENTO E INSTALAÇÃO. AF_10/2020</t>
  </si>
  <si>
    <r>
      <t xml:space="preserve">ELETRODUTO DE PVC RÍGIDO ROSCÁVEL DE 1´ - COM ACESSÓRIOS - </t>
    </r>
    <r>
      <rPr>
        <b/>
        <sz val="10"/>
        <rFont val="Cambria"/>
        <family val="1"/>
      </rPr>
      <t>CIRCUITOS ILUM/TOM</t>
    </r>
  </si>
  <si>
    <r>
      <t xml:space="preserve">DISJUNTOR MONOPOLAR TIPO DIN, CORRENTE NOMINAL DE 10A - FORNECIMENTO E INSTALAÇÃO. AF_10/2020 - </t>
    </r>
    <r>
      <rPr>
        <b/>
        <sz val="10"/>
        <rFont val="Cambria"/>
        <family val="1"/>
      </rPr>
      <t>ILUMINAÇÃO INTERNA</t>
    </r>
  </si>
  <si>
    <r>
      <t xml:space="preserve">DISJUNTOR BIPOLAR TIPO DIN, CORRENTE NOMINAL DE 20A - FORNECIMENTO E INSTALAÇÃO. AF_10/2020 </t>
    </r>
    <r>
      <rPr>
        <b/>
        <sz val="10"/>
        <rFont val="Cambria"/>
        <family val="1"/>
      </rPr>
      <t>- BOMB. DOSADORAS</t>
    </r>
  </si>
  <si>
    <t>5.7.10</t>
  </si>
  <si>
    <t>5.7.11</t>
  </si>
  <si>
    <t>5.7.12</t>
  </si>
  <si>
    <t>5.7.13</t>
  </si>
  <si>
    <t>5.7.14</t>
  </si>
  <si>
    <t>5.7.15</t>
  </si>
  <si>
    <t>5.7.16</t>
  </si>
  <si>
    <t>5.7.17</t>
  </si>
  <si>
    <t>CONDULETE DE PVC, PARA ELETRODUTO DE PVC SOLDÁVEL DN 32 MM (1''), APARENTE DESTINADOS A INTERRUPTORES E TOMADAS - FORNECIMENTO E INSTALAÇÃO. AF_10/2022</t>
  </si>
  <si>
    <t>5.7.18</t>
  </si>
  <si>
    <t>TOMADA MÉDIA (1 MÓDULO), 2P+T 20 A, INCLUINDO SUPORTE E PLACA - FORNECIMENTO E INSTALAÇÃO. AF_03/2023</t>
  </si>
  <si>
    <t>TOMADA MÉDIA (1 MÓDULO), 2P+T 10 A, INCLUINDO SUPORTE E PLACA - FORNECIMENTO E INSTALAÇÃO. AF_12/2015</t>
  </si>
  <si>
    <t>INTERRUPTOR SIMPLES (1 MÓDULO) COM 1 TOMADA 2P+T 10 A, INCLUINDO SUPORTE E PLACA - FORNECIMENTO E INSTALAÇÃO. AF_12/2015</t>
  </si>
  <si>
    <t>5.7.19</t>
  </si>
  <si>
    <t>5.7.20</t>
  </si>
  <si>
    <t>5.7.21</t>
  </si>
  <si>
    <r>
      <t xml:space="preserve">TOMADA ALTA (1 MÓDULO), 2P+T 20 A, INCLUINDO SUPORTE E PLACA - FORNECIMENTO E INSTALAÇÃO. AF_12/2015 </t>
    </r>
    <r>
      <rPr>
        <b/>
        <sz val="10"/>
        <rFont val="Cambria"/>
        <family val="1"/>
      </rPr>
      <t>CHUVEIRO</t>
    </r>
  </si>
  <si>
    <r>
      <t xml:space="preserve">LUMINÁRIA TIPO CALHA, DE SOBREPOR, COM 2 LÂMPADAS TUBULARES FLUORESCENTES DE 36 W, COM REATOR DE PARTIDA RÁPIDA - FORNECIMENTO E INSTALAÇÃO. AF_02/2020 </t>
    </r>
    <r>
      <rPr>
        <b/>
        <sz val="10"/>
        <rFont val="Cambria"/>
        <family val="1"/>
      </rPr>
      <t>CASA DE BOMBAS</t>
    </r>
  </si>
  <si>
    <r>
      <t xml:space="preserve">LUMINÁRIA ARANDELA TIPO TARTARUGA, COM GRADE, DE SOBREPOR, COM 1 LÂMPADA FLUORESCENTE DE 15 W, SEM REATOR - FORNECIMENTO E INSTALAÇÃO. AF_02/2020 </t>
    </r>
    <r>
      <rPr>
        <b/>
        <sz val="10"/>
        <rFont val="Cambria"/>
        <family val="1"/>
      </rPr>
      <t>BANHEIRO, SALA OPERADOR, CASA DE QUÍMICA E DEPÓSITO</t>
    </r>
  </si>
  <si>
    <t>5.7.22</t>
  </si>
  <si>
    <t>5.7.23</t>
  </si>
  <si>
    <t>5.7.24</t>
  </si>
  <si>
    <t>6.1</t>
  </si>
  <si>
    <t>6.1.1</t>
  </si>
  <si>
    <t>6.1.2</t>
  </si>
  <si>
    <t>6.1.3</t>
  </si>
  <si>
    <t>6.1.4</t>
  </si>
  <si>
    <t>6.1.5</t>
  </si>
  <si>
    <t>6.1.6</t>
  </si>
  <si>
    <t>6.1.7</t>
  </si>
  <si>
    <t>6.1.8</t>
  </si>
  <si>
    <t>6.1.9</t>
  </si>
  <si>
    <t>6.1.10</t>
  </si>
  <si>
    <t>6.1.11</t>
  </si>
  <si>
    <t>6.1.12</t>
  </si>
  <si>
    <t>6.1.13</t>
  </si>
  <si>
    <t>6.2</t>
  </si>
  <si>
    <t>6.2.1</t>
  </si>
  <si>
    <t>7.2.2</t>
  </si>
  <si>
    <t>7.2.3</t>
  </si>
  <si>
    <t>7.2.4</t>
  </si>
  <si>
    <t>7.2.5</t>
  </si>
  <si>
    <t>7.2.6</t>
  </si>
  <si>
    <t>7.2.7</t>
  </si>
  <si>
    <t>7.2.8</t>
  </si>
  <si>
    <t>7.2.9</t>
  </si>
  <si>
    <t>7.2.10</t>
  </si>
  <si>
    <t>7.2.11</t>
  </si>
  <si>
    <t>7.2.12</t>
  </si>
  <si>
    <t>7.2.13</t>
  </si>
  <si>
    <t>7.2.14</t>
  </si>
  <si>
    <t>7.2.15</t>
  </si>
  <si>
    <t>7.2.16</t>
  </si>
  <si>
    <t>7.2.17</t>
  </si>
  <si>
    <t>7.2.18</t>
  </si>
  <si>
    <t>7.2.19</t>
  </si>
  <si>
    <t>7.2.20</t>
  </si>
  <si>
    <t>7.2.21</t>
  </si>
  <si>
    <t>7.2.22</t>
  </si>
  <si>
    <t>7.2.23</t>
  </si>
  <si>
    <t>7.2.24</t>
  </si>
  <si>
    <t>7.3</t>
  </si>
  <si>
    <t>7.3.1</t>
  </si>
  <si>
    <t>7.3.2</t>
  </si>
  <si>
    <t>7.3.3</t>
  </si>
  <si>
    <t>7.3.4</t>
  </si>
  <si>
    <t>7.3.5</t>
  </si>
  <si>
    <t>7.3.6</t>
  </si>
  <si>
    <t>7.3.7</t>
  </si>
  <si>
    <t>7.3.8</t>
  </si>
  <si>
    <t>7.3.9</t>
  </si>
  <si>
    <t>7.3.10</t>
  </si>
  <si>
    <t>7.3.11</t>
  </si>
  <si>
    <t>7.3.12</t>
  </si>
  <si>
    <t>7.3.13</t>
  </si>
  <si>
    <t>7.3.14</t>
  </si>
  <si>
    <t>7.3.15</t>
  </si>
  <si>
    <t>7.3.16</t>
  </si>
  <si>
    <t>7.3.17</t>
  </si>
  <si>
    <t>7.3.18</t>
  </si>
  <si>
    <t>7.3.19</t>
  </si>
  <si>
    <t>7.3.20</t>
  </si>
  <si>
    <t>7.3.21</t>
  </si>
  <si>
    <t>7.3.22</t>
  </si>
  <si>
    <t>7.4</t>
  </si>
  <si>
    <t>7.4.1</t>
  </si>
  <si>
    <t>7.4.2</t>
  </si>
  <si>
    <t>7.4.3</t>
  </si>
  <si>
    <t>7.5</t>
  </si>
  <si>
    <t>7.5.1</t>
  </si>
  <si>
    <t>7.5.2</t>
  </si>
  <si>
    <t>7.5.3</t>
  </si>
  <si>
    <t>7.6</t>
  </si>
  <si>
    <t>7.6.1</t>
  </si>
  <si>
    <t>7.6.2</t>
  </si>
  <si>
    <t>7.6.3</t>
  </si>
  <si>
    <t>8.1.3</t>
  </si>
  <si>
    <t>8.3.23</t>
  </si>
  <si>
    <t>8.3.24</t>
  </si>
  <si>
    <t>8.3.25</t>
  </si>
  <si>
    <t>VÁLVULA RETENÇÃO C/FLANGES PN10 FERRO FUNDIDO DN=200 MM FECH. RÁPIDO, PORT. ÚNICA, ÂNGULO 35º, OBT. REVEST. BORRACHA, PINTURA EPÓXI</t>
  </si>
  <si>
    <t>HM05897</t>
  </si>
  <si>
    <t>MEDIDOR DE VAZÃO ELETROMAGNÉTICO 200MM, ALIMENTAÇÃO 24Vcc, FLANGEADO, CONFORME NTS 066, PARA USO EM ÁGUA</t>
  </si>
  <si>
    <t>EL07558</t>
  </si>
  <si>
    <r>
      <t xml:space="preserve">TUBO C/FLANGE PN10 E PONTA FERRO FUNDIDO DN=300 MM L=5.000 MM * (303,50 KG) PINTURA BETUMINOSA, ACESSÓRIOS NÃO INCLUSOS NBR 7675 ÁGUA - </t>
    </r>
    <r>
      <rPr>
        <b/>
        <sz val="10"/>
        <rFont val="Cambria"/>
        <family val="1"/>
      </rPr>
      <t>CONFIRMAR MEDIDAS NO LOCAL ANTES DA AQUISIÇÃO DOS TUBOS</t>
    </r>
  </si>
  <si>
    <t>HM03527</t>
  </si>
  <si>
    <t>BARRILETE DO POÇO PROFUNDO E LINHAS DE RECALQUE (RESERV. ELEVADO E APOIADO) + TUBULAÇÃO INTERLIGAÇÃO RESERV. ELEV. /APOIADO</t>
  </si>
  <si>
    <t>CURVA 90º COM BOLSAS JE2GS FERRO FUNDIDO DN=300 MM * (70,40 KG) PINTURA BETUMINOSA E ANÉIS DE BORRACHA INCLUSOS NBR 7675 PARA ÁGUA</t>
  </si>
  <si>
    <t>CURVA 45º COM BOLSAS JE2GS FERRO FUNDIDO DN=200 MM * (29,00 KG) PINTURA BETUMINOSA E ANÉIS DE BORRACHA INCLUSOS NBR 7675 ÁGUA</t>
  </si>
  <si>
    <t>HM02955</t>
  </si>
  <si>
    <t>TOCO C/FLANGES PN10 E ABA DE VEDAÇÃO FERRO FUNDIDO DN=300 MM L=700MM * (93,00 KG) PINTURA BETUMINOSA, ACESSÓRIOS NÃO INCLUSOS NBR 7675 ÁGUA</t>
  </si>
  <si>
    <t>7.2.25</t>
  </si>
  <si>
    <t>7.2.26</t>
  </si>
  <si>
    <t>7.2.27</t>
  </si>
  <si>
    <t>7.2.28</t>
  </si>
  <si>
    <t>SISTEMA ELEVATÓRIO (RESERV. APOIADO PARA RESERV. ELEVADO)</t>
  </si>
  <si>
    <t>HM03967</t>
  </si>
  <si>
    <t>TUBO C/FLANGE PN10 E PONTA FERRO FUNDIDO DN=250 MM L=1.500 MM * (82,60 KG) PINTURA BETUMINOSA, ACESSÓRIOS NÃO INCLUSOS NBR 7675 ÁGUA</t>
  </si>
  <si>
    <t>TUBO C/FLANGES PN10 FERRO FUNDIDO DN=250 MM L=1.000 MM * (74,40 KG) PINTURA BETUMINOSA, ACESSÓRIOS NÃO INCLUSOS NBR 7675 ÁGUA</t>
  </si>
  <si>
    <t>HM03596</t>
  </si>
  <si>
    <t>TOCO COM FLANGES PN10 FERRO FUNDIDO DN=250 MM L=500 MM * (60,00 KG) PINTURA BETUMINOSA, ACESSÓRIOS NÃO INCLUSOS NBR 7675 ÁGUA</t>
  </si>
  <si>
    <t>HM03515</t>
  </si>
  <si>
    <t>TUBO C/FLANGES PN10 FERRO FUNDIDO DN=250 MM L=600 MM * (74,40 KG) PINTURA BETUMINOSA, ACESSÓRIOS NÃO INCLUSOS NBR 7675 ÁGUA</t>
  </si>
  <si>
    <t>REF.
HM03596</t>
  </si>
  <si>
    <t>FLANGE CEGO PN10 FERRO FUNDIDO DN=250 MM * (17,00 KG) PINTURA BETUMINOSA - ACESSÓRIOS NÃO INCLUSOS NBR 7675 ÁGUA</t>
  </si>
  <si>
    <t>HM03138</t>
  </si>
  <si>
    <t>HM03336</t>
  </si>
  <si>
    <t>JUNÇÃO 45º COM FLANGES PN10 FERRO FUNDIDO DN=200 X 200 MM * (55,00 KG) PINTURA BETUMINOSA - ACESSÓRIOS NÃO INCLUSOS NBR 7675 ÁGUA</t>
  </si>
  <si>
    <t>HM03197</t>
  </si>
  <si>
    <t>TUBO C/FLANGES PN10 FERRO FUNDIDO DN=200 MM L=700 MM * (54,80 KG) PINTURA BETUMINOSA, ACESSÓRIOS NÃO INCLUSOS NBR 7675 ÁGUA</t>
  </si>
  <si>
    <t>REF.
HM03585</t>
  </si>
  <si>
    <r>
      <t xml:space="preserve">REDUÇÃO EXCÊNTRICA COM FLANGES PN10 FERRO FUNDIDO DN=250 X 150 MM * (39,00 KG) PINTURA BETUMINOSA, ACESSÓRIOS NÃO INCLUSOS NBR 7675 ÁGUA - </t>
    </r>
    <r>
      <rPr>
        <b/>
        <sz val="10"/>
        <rFont val="Cambria"/>
        <family val="1"/>
      </rPr>
      <t>CONFIRMAR MEDIDA DO BOCAL DE SUCÇÃO DA BOMBA ANTES DA AQUISIÇÃO DAS PEÇAS</t>
    </r>
  </si>
  <si>
    <t>CURVA 45º COM FLANGES PN10 FERRO FUNDIDO DN=200 MM * (26,00 KG) PINTURA BETUMINOSA - ACESSÓRIOS NÃO INCLUSOS NBR 7675 ÁGUA</t>
  </si>
  <si>
    <t>HM0299</t>
  </si>
  <si>
    <t>FLANGE CEGO PN10 FERRO FUNDIDO DN=200 MM * (11,00 KG) PINTURA BETUMINOSA - ACESSÓRIOS NÃO INCLUSOS NBR 7675 ÁGUA</t>
  </si>
  <si>
    <t>HM03137</t>
  </si>
  <si>
    <r>
      <t xml:space="preserve">REDUÇÃO CONCÊNTRICA COM FLANGES PN10 FERRO FUNDIDO DN=200 X 150 MM * (22,00 KG) PINTURA BETUMINOSA, ACESSÓRIOS NÃO INCLUSOS NBR 7675 ÁGUA - </t>
    </r>
    <r>
      <rPr>
        <b/>
        <sz val="10"/>
        <rFont val="Cambria"/>
        <family val="1"/>
      </rPr>
      <t>CONFIRMAR MEDIDA DO BOCAL DE RECALQUE DA BOMBA ANTES DA AQUISIÇÃO DAS PEÇAS</t>
    </r>
  </si>
  <si>
    <t>REF.
HM03335</t>
  </si>
  <si>
    <t>VÁLVULA RETENÇÃO WAFER PN16 FERRO FUNDIDO DN=200 MM FECH. RÁPIDO AXIAL, OBT. POLIURETANO, PINTURA EPÓXI NBR 7675 ÁGUA</t>
  </si>
  <si>
    <t>TUBO C/FLANGE PN10 E PONTA FERRO FUNDIDO DN=200 MM L=3.000 MM * (114,40 KG) PINTURA BETUMINOSA, ACESSÓRIOS NÃO INCLUSOS NBR 7675 ÁGUA</t>
  </si>
  <si>
    <t>HM03959</t>
  </si>
  <si>
    <t>7.3.23</t>
  </si>
  <si>
    <t>7.3.24</t>
  </si>
  <si>
    <t>7.3.25</t>
  </si>
  <si>
    <t>7.3.26</t>
  </si>
  <si>
    <t>TUBO C/FLANGE PN10 E PONTA FERRO FUNDIDO DN=200 MM L=5.000 MM * (184,00 KG) PINTURA BETUMINOSA, ACESSÓRIOS NÃO INCLUSOS NBR 7675 ÁGUA</t>
  </si>
  <si>
    <t>HM03963</t>
  </si>
  <si>
    <t>TOCO C/FLANGES PN10 E ABA DE VEDAÇÃO FERRO FUNDIDO DN=200 MM L=700MM * (56,00 KG) PINTURA BETUMINOSA, ACESSÓRIOS NÃO INCLUSOS NBR 7675 ÁGUA</t>
  </si>
  <si>
    <t>HM03525</t>
  </si>
  <si>
    <t>7.3.27</t>
  </si>
  <si>
    <t>7.3.28</t>
  </si>
  <si>
    <t>7.3.29</t>
  </si>
  <si>
    <t>7.3.30</t>
  </si>
  <si>
    <t>7.3.31</t>
  </si>
  <si>
    <t>7.3.32</t>
  </si>
  <si>
    <t>ASSENTAMENTO DE TUBOS PVC DEFOFO E PEÇAS COM BOLSAS JGS, DN 200 MM, JUNTA ELÁSTICA INTEGRADA, INSTALADO EM LOCAL COM NÍVEL BAIXO DE INTERFERÊNCIAS (NÃO INCLUI FORNECIMENTO). AF_11/2017</t>
  </si>
  <si>
    <t>ASSENTAMENTO DE TUBOS PVC DEFOFO E PEÇAS COM BOLSAS JGS, DN 300 MM, JUNTA ELÁSTICA INTEGRADA, INSTALADO EM LOCAL COM NÍVEL BAIXO DE INTERFERÊNCIAS (NÃO INCLUI FORNECIMENTO). AF_11/2017</t>
  </si>
  <si>
    <t>ASSENTAMENTO DE TUBOS PVC DEFOFO E PEÇAS COM BOLSAS JGS, DN 250 MM, JUNTA ELÁSTICA INTEGRADA, INSTALADO EM LOCAL COM NÍVEL BAIXO DE  INTERFERÊNCIAS (NÃO INCLUI FORNECIMENTO). AF_11/2017</t>
  </si>
  <si>
    <t>CONJUNTO MOTOR-BOMBAS</t>
  </si>
  <si>
    <t>MERCADO</t>
  </si>
  <si>
    <t>C001</t>
  </si>
  <si>
    <t>7.3.33</t>
  </si>
  <si>
    <t>INSTALAÇÕES HIDRÁULICAS (ÁREA CEDRINHO)</t>
  </si>
  <si>
    <t>EXTREMIDADE BOLSA JE2GS - FLANGE PN10 FERRO FUNDIDO DN=250 MM L=145 MM * (28,80 KG) PINTURA BETUMINOSA - INCLUSO ANEL DE BORRACHA NBR 7675 ÁGUA</t>
  </si>
  <si>
    <t>HM03098</t>
  </si>
  <si>
    <t>7.3.34</t>
  </si>
  <si>
    <t>REF.
HM07073</t>
  </si>
  <si>
    <t>VÁLVULA GAVETA C/FLANGES PN10 FERRO FUNDIDO DN=250 MM (108,00 KG), HASTE ASCENDENTE, PINTURA EPÓXI EM PÓ NBR 14968 ÁGUA/ESGOTO</t>
  </si>
  <si>
    <t>CURVA 45º COM BOLSAS JE2GS FERRO FUNDIDO DN=250 MM * (39,20 KG) PINTURA BETUMINOSA E ANÉIS DE BORRACHA INCLUSOS NBR 7675 ÁGUA</t>
  </si>
  <si>
    <t>HM02956</t>
  </si>
  <si>
    <t>CURVA 22º30' COM BOLSAS JE2GS FERRO FUNDIDO DN=250 MM * (33,80 KG) PINTURA BETUMINOSA E ANÉIS DE BORRACHA INCLUSOS NBR 7675 ÁGUA</t>
  </si>
  <si>
    <t>HM02946</t>
  </si>
  <si>
    <t>TÊ COM BOLSAS JE2GS FERRO FUNDIDO DN=150 X 100 MM * (25,00 KG) PINTURA BETUMINOSA, ANÉIS DE BORRACHA INCLUSOS NBR 7675 ÁGUA</t>
  </si>
  <si>
    <t>HM03419</t>
  </si>
  <si>
    <t>JUNTA GIBAULT FERRO FUNDIDO DN=200 MM * (17,50 KG) PINTURA BETUMINOSA - ACESSÓRIOS INCLUSOS NBR 7675 ÁGUA</t>
  </si>
  <si>
    <t>HM03179</t>
  </si>
  <si>
    <t>JUNTA GIBAULT FERRO FUNDIDO DN=250 MM * (29,40 KG) PINTURA BETUMINOSA - ACESSÓRIOS INCLUSOS NBR 7675 ÁGUA</t>
  </si>
  <si>
    <t>HM03180</t>
  </si>
  <si>
    <t>JUNTA GIBAULT FERRO FUNDIDO DN=150 MM * (9,20 KG) PINTURA BETUMINOSA - ACESSÓRIOS INCLUSOS NBR 7675 ÁGUA</t>
  </si>
  <si>
    <t>HM031878</t>
  </si>
  <si>
    <t>HM03972</t>
  </si>
  <si>
    <t>TUBO C/FLANGES PN10 FERRO FUNDIDO DN=250 MM L=4.000 MM * (210,60 KG) PINTURA BETUMINOSA, ACESSÓRIOS NÃO INCLUSOS NBR 7675 ÁGUA</t>
  </si>
  <si>
    <t>HM03602</t>
  </si>
  <si>
    <t>REF.
HM03973</t>
  </si>
  <si>
    <t xml:space="preserve"> TUBO C/FLANGE PN10 E PONTA FERRO FUNDIDO DN=250 MM L=2.800 MM * (150,70 KG) PINTURA BETUMINOSA, ACESSÓRIOS NÃO INCLUSOS NBR 7675 ÁGUA</t>
  </si>
  <si>
    <t>REF.
HM03970</t>
  </si>
  <si>
    <t>8.3.26</t>
  </si>
  <si>
    <t>46.04.040</t>
  </si>
  <si>
    <t>REF.
HM05228</t>
  </si>
  <si>
    <t>VÁLVULA DE CONTROLE DE NÍVEL COM PILOTO DE ALTITUDE, COM FLANGES, PN10, DN250 - INCLUSIVE TUBO DE DETECÇÃO E ACESSÓRIOS PARA INSTALAÇÃO</t>
  </si>
  <si>
    <t>8.3.27</t>
  </si>
  <si>
    <t>TÊ COM FLANGES PN10 FERRO FUNDIDO DN=250 X 100 MM * (67,00 KG) PINTURA BETUMINOSA, ACESSÓRIOS NÃO INCLUSOS NBR 7675 ÁGUA</t>
  </si>
  <si>
    <t>HM03407</t>
  </si>
  <si>
    <t>VÁLVULA GAVETA C/BOLSAS JGS FERRO FUNDIDO DN=100 MM (19,00 KG), ACION. CABEÇOTE, CUNHA DE BORRACHA, PINTURA EPÓXI EM PÓ NBR 14968 ÁGUA/ESGOTO</t>
  </si>
  <si>
    <t>HM07060</t>
  </si>
  <si>
    <t>VENTOSA TRÍPLICE FUNÇÃO C/FLANGES PN10/16 FERRO FUNDIDO DN=100 MM PINTURA EPÓXI NTS 322 ÁGUA</t>
  </si>
  <si>
    <t>HM04220</t>
  </si>
  <si>
    <t>TÊ COM BOLSAS JE2GS FERRO FUNDIDO DN=250 X 100 MM * (39,50 KG) PINTURA BETUMINOSA, ANÉIS DE BORRACHA INCLUSOS NBR 7675 ÁGUA</t>
  </si>
  <si>
    <t>HM03426</t>
  </si>
  <si>
    <t>CURVA 90º COM BOLSAS JE2GS FERRO FUNDIDO DN=100 MM * (13,20 KG) PINTURA BETUMINOSA E ANÉIS DE BORRACHA INCLUSOS NBR 7675 PARA ÁGUA</t>
  </si>
  <si>
    <t>HM02963</t>
  </si>
  <si>
    <t xml:space="preserve"> ACESSÓRIOS PARA FLANGE DN=250 PN10 AÇO GALV D=3/4" X L=3 1/2" 12 CJ (PARAFUSO, PORCA E ARRUELA) NORMA 0100-400-E027 FL3/3</t>
  </si>
  <si>
    <t>ACESSÓRIOS PARA FLANGE DN=100 PN10 AÇO GALV D=5/8" X L=2 3/4" 8 CJ (PARAFUSO, PORCA E ARRUELA) NORMA 0100-400-E027 FL3/3</t>
  </si>
  <si>
    <t>HM01292</t>
  </si>
  <si>
    <t>8.3.28</t>
  </si>
  <si>
    <t>8.3.29</t>
  </si>
  <si>
    <t>8.3.30</t>
  </si>
  <si>
    <t>8.3.31</t>
  </si>
  <si>
    <t>8.3.32</t>
  </si>
  <si>
    <t>8.3.33</t>
  </si>
  <si>
    <t>8.3.34</t>
  </si>
  <si>
    <t>8.3.35</t>
  </si>
  <si>
    <t>8.3.36</t>
  </si>
  <si>
    <t>8.3.37</t>
  </si>
  <si>
    <t>8.3.38</t>
  </si>
  <si>
    <t>8.3.39</t>
  </si>
  <si>
    <t>8.3.40</t>
  </si>
  <si>
    <t>8.5</t>
  </si>
  <si>
    <t>CAIXA ENTERRADA - REG. E VÁLVULA DE ALTITUDE (2,70x1,90x1,70m)</t>
  </si>
  <si>
    <t>8.4.3</t>
  </si>
  <si>
    <t>8.5.1</t>
  </si>
  <si>
    <t>8.5.2</t>
  </si>
  <si>
    <t>TUBULAÇÃO - EXTRAVASÃO E LIMPEZA DO RESERVATÓRIO APOIADO (2.650m3)</t>
  </si>
  <si>
    <t>7.7</t>
  </si>
  <si>
    <t>7.7.1</t>
  </si>
  <si>
    <t>7.7.2</t>
  </si>
  <si>
    <t>7.7.3</t>
  </si>
  <si>
    <t>TUBO C/FLANGE PN10 E PONTA FERRO FUNDIDO DN=250 MM L=4.000 MM * (196,10 KG) PINTURA BETUMINOSA, ACESSÓRIOS NÃO INCLUSOS NBR 7675 ÁGUA</t>
  </si>
  <si>
    <t xml:space="preserve"> TÊ COM BOLSAS JE2GS FERRO FUNDIDO DN= 250 X 250 MM * (58,90 KG) PINTURA BETUMINOSA, ANÉIS DE BORRACHA INCLUSOS NBR 7675 ÁGUA</t>
  </si>
  <si>
    <t>7.4.5</t>
  </si>
  <si>
    <t>7.4.7</t>
  </si>
  <si>
    <t>7.4.4</t>
  </si>
  <si>
    <t>7.4.6</t>
  </si>
  <si>
    <t>7.4.8</t>
  </si>
  <si>
    <t>7.4.9</t>
  </si>
  <si>
    <t>7.4.10</t>
  </si>
  <si>
    <t>7.4.11</t>
  </si>
  <si>
    <t>HM05226</t>
  </si>
  <si>
    <r>
      <t xml:space="preserve">VÁLVULA REDUTORA DE PRESSÃO (VRP) COM FLANGES PN16 FERRO FUNDIDO DN=150 MM TIPO GLOBO ÁGUA </t>
    </r>
    <r>
      <rPr>
        <b/>
        <sz val="10"/>
        <rFont val="Cambria"/>
        <family val="1"/>
      </rPr>
      <t>(PRESSÃO JUSANTE MÁXIMA DE 25,0 MCA)</t>
    </r>
  </si>
  <si>
    <t>HM03096</t>
  </si>
  <si>
    <t>EXTREMIDADE BOLSA JE2GS - FLANGE PN10/16 FERRO FUNDIDO DN=150 MM L=135 MM * (15,70 KG) PINTURA BETUMINOSA - INCLUSO ANEL DE BORRACHA NBR 7675 ÁGUA</t>
  </si>
  <si>
    <t>8.5.3</t>
  </si>
  <si>
    <t>CAIXA ENTERRADA NA CALÇADA - VÁLVULA V.R.P. (1,50x1,50x1,40m)</t>
  </si>
  <si>
    <t>CAIXA ENTERRADA NA CALÇADA - VENTOSA (1,50x1,50x1,40m)</t>
  </si>
  <si>
    <t>8.6</t>
  </si>
  <si>
    <t>CURVA 90º COM BOLSAS JE2GS FERRO FUNDIDO DN=150 MM * (21,60 KG) PINTURA BETUMINOSA E ANÉIS DE BORRACHA INCLUSOS NBR 7675 PARA ÁGUA</t>
  </si>
  <si>
    <t>HM02964</t>
  </si>
  <si>
    <t>14.01.060</t>
  </si>
  <si>
    <t>GRAUTEAMENTO VERTICAL EM ALVENARIA ESTRUTURAL. AF_09/2021</t>
  </si>
  <si>
    <t>8.6.1</t>
  </si>
  <si>
    <t>8.6.2</t>
  </si>
  <si>
    <t>8.6.3</t>
  </si>
  <si>
    <t>8.6.4</t>
  </si>
  <si>
    <t>GRAUTEAMENTO DE CINTA EM ALVENARIA ESTRUTURAL. AF_09/2021</t>
  </si>
  <si>
    <t>8.6.5</t>
  </si>
  <si>
    <t>8.7</t>
  </si>
  <si>
    <t>8.7.1</t>
  </si>
  <si>
    <t>8.7.2</t>
  </si>
  <si>
    <t>ADUTORA E INTERLIGAÇÃO COM O RESERVATÓRIO DO CDHU</t>
  </si>
  <si>
    <t>FUNDAÇÃO DO RESERVATÓRIO APOIADO (2.650m3)</t>
  </si>
  <si>
    <t>CONCRETO USINADO, FCK = 25 MPA - PARA BOMBEAMENTO</t>
  </si>
  <si>
    <t>11.01.290</t>
  </si>
  <si>
    <t>11.18.040</t>
  </si>
  <si>
    <t>LASTRO DE PEDRA BRITADA, ESP. 5CM</t>
  </si>
  <si>
    <t>3.2.3</t>
  </si>
  <si>
    <t>3.2.4</t>
  </si>
  <si>
    <t>PINTURA COM TINTA ALQUÍDICA DE FUNDO (TIPO ZARCÃO) PULVERIZADA SOBRE SUPERFÍCIES METÁLICAS EXECUTADO EM OBRA (POR DEMÃO). AF_01/2020_PE</t>
  </si>
  <si>
    <t>PINTURA COM TINTA ALQUÍDICA DE ACABAMENTO (ESMALTE SINTÉTICO FOSCO) PULVERIZADA SOBRE SUPERFÍCIES METÁLICAS EXECUTADO EM OBRA (02 DEMÃOS). AF_01/2020_PE</t>
  </si>
  <si>
    <t>INFRAESTRUTURA DESTINADA ÀS INSTALAÇÕES PARA DOSAGEM QUÍMICA</t>
  </si>
  <si>
    <t>INSTALAÇÕES ELÉTRICAS PREDIAIS</t>
  </si>
  <si>
    <t>FUNDAÇÃO (BASE DO RESERVATÓRIO)</t>
  </si>
  <si>
    <r>
      <t xml:space="preserve">DISJUNTOR MONOPOLAR TIPO DIN, CORRENTE NOMINAL DE 16A - FORNECIMENTO E INSTALAÇÃO. AF_10/2020 </t>
    </r>
    <r>
      <rPr>
        <b/>
        <sz val="10"/>
        <rFont val="Cambria"/>
        <family val="1"/>
      </rPr>
      <t>- TOMADAS DE USO GERAL (127V)</t>
    </r>
  </si>
  <si>
    <r>
      <t xml:space="preserve">DISJUNTOR BIPOLAR TIPO DIN, CORRENTE NOMINAL DE 16A - FORNECIMENTO E INSTALAÇÃO. AF_10/2020 - </t>
    </r>
    <r>
      <rPr>
        <b/>
        <sz val="10"/>
        <rFont val="Cambria"/>
        <family val="1"/>
      </rPr>
      <t>ILUM. TOPO / TOMADAS DE USO GERAL (220V)</t>
    </r>
  </si>
  <si>
    <t>PINTURA LÁTEX ACRÍLICA PREMIUM, APLICAÇÃO MANUAL EM PAREDES, DUAS DEMÃOS. AF_04/2023</t>
  </si>
  <si>
    <t>5.3.9</t>
  </si>
  <si>
    <r>
      <t xml:space="preserve">ALVENARIA DE VEDAÇÃO DE BLOCOS VAZADOS DE CONCRETO APARENTE DE 9X19X39 CM (ESPESSURA 9 CM) E ARGAMASSA DE ASSENTAMENTO COM PREPARO EM BETONEIRA. AF_12/2021 </t>
    </r>
    <r>
      <rPr>
        <b/>
        <sz val="10"/>
        <rFont val="Cambria"/>
        <family val="1"/>
      </rPr>
      <t>MURETAS DE DIVISA - CASA DE QUÍMICA</t>
    </r>
  </si>
  <si>
    <t>TANQUE EM POLIETILENO COM TAMPA DE ROSCA - CAPACIDADE DE 1.000 LITROS, DIÂMETRO MÁXIMO DE 1390MM</t>
  </si>
  <si>
    <t>RESERVATÓRIO EM POLIETILENO, 500 LITROS - FORNECIMENTO E INSTALAÇÃO. DIÂMETRO MÁXIMO DE 1250MM</t>
  </si>
  <si>
    <t>REF.
100716</t>
  </si>
  <si>
    <t>6.2.2</t>
  </si>
  <si>
    <t>6.2.3</t>
  </si>
  <si>
    <t>JATEAMENTO ABRASIVO AO METAL BRANCO PADRÃO VISUAL SA 2.1/2</t>
  </si>
  <si>
    <t>JATEAMENTO ABRASIVO AO METAL BRANCO PADRÃO VISUAL SA 3</t>
  </si>
  <si>
    <t>APLICAÇÃO DE 1 (UMA) DEMÃO DE SUMASTIC AWWA COM ESPESSURA SECA DE 120 MICROMETROS</t>
  </si>
  <si>
    <t>APLICAÇÃO DE 2 (DUAS) DEMÃOS DE POLIURETANO ACRÍLICO ALIFÁTICO COM ESPESSURA SECA DE 40 MICROMETROS CADA, TOTALIZANDO 80 MICROMETROS</t>
  </si>
  <si>
    <t>6.2.4</t>
  </si>
  <si>
    <t>6.2.5</t>
  </si>
  <si>
    <t>6.2.6</t>
  </si>
  <si>
    <t>APLICAÇÃO DE 2 (DUAS) DEMÃOS DE ESMALTE ALCATRÃO DE HULHA COM ESPESSURA SECA 200 MICROMETROS CADA, TOTALIZANDO 400 MICROMETROS</t>
  </si>
  <si>
    <t>6.2.7</t>
  </si>
  <si>
    <t>REF.
5056</t>
  </si>
  <si>
    <t>REF. 
5039</t>
  </si>
  <si>
    <t>REF. 
(2x) 3714</t>
  </si>
  <si>
    <t>ORSE
02/2024</t>
  </si>
  <si>
    <t>6.2.8</t>
  </si>
  <si>
    <t>REF. 
93567</t>
  </si>
  <si>
    <t>ACOMPANHAMENTO TÉCNICO ESPECIALIZADO COM EMISSÃO DE LAUDOS E ATESTADOS DE CONFORMIDADE ESTRUTURAL</t>
  </si>
  <si>
    <t>APLICAÇÃO DE 2 (DUAS) DEMÃOS DE SUMASTIC AWWA COM ESPESSURA SECA DE 175 MICROMETROS CADA, TOLALIZANDO 350 MICROMETROS SECO</t>
  </si>
  <si>
    <t>REF.
32.17.070</t>
  </si>
  <si>
    <t>ESCAVAÇÃO E REATERRO DE VALAS</t>
  </si>
  <si>
    <r>
      <t xml:space="preserve">PEÇA RETANGULAR PRÉ-MOLDADA, VOLUME DE CONCRETO ACIMA DE 100 LITROS, TAXA DE AÇO APROXIMADA DE 30KG/M³. AF_01/2018 - </t>
    </r>
    <r>
      <rPr>
        <b/>
        <sz val="10"/>
        <rFont val="Cambria"/>
        <family val="1"/>
      </rPr>
      <t>TAMPAS ESP. 6CM / LARG. 30CM</t>
    </r>
  </si>
  <si>
    <t>8.2.5</t>
  </si>
  <si>
    <t>8.2.6</t>
  </si>
  <si>
    <t>PREPARO DE FUNDO DE VALA COM LARGURA MENOR QUE 1,5 M, COM CAMADA DE AREIA ESP. 10CM, LANÇAMENTO MECANIZADO. AF_08/2020</t>
  </si>
  <si>
    <t>OBRA:</t>
  </si>
  <si>
    <t>Percentual da base de cálculo para o ISS, conforme legislação tributária municipal:</t>
  </si>
  <si>
    <t>Alíquota do ISS:</t>
  </si>
  <si>
    <t>TIPO DE OBRA:</t>
  </si>
  <si>
    <t>Conforme Acordão Nº 2622/2013 - TCU.</t>
  </si>
  <si>
    <t>Demonstrativo</t>
  </si>
  <si>
    <t>Referência</t>
  </si>
  <si>
    <t>SIGLAS</t>
  </si>
  <si>
    <t>DESCRIÇÃO</t>
  </si>
  <si>
    <t>3º Quartil</t>
  </si>
  <si>
    <t>AC</t>
  </si>
  <si>
    <t>SG</t>
  </si>
  <si>
    <t>SEGURO E GARANTIA</t>
  </si>
  <si>
    <t>R</t>
  </si>
  <si>
    <t>DF</t>
  </si>
  <si>
    <t>DESPESAS FINANCEIRAS</t>
  </si>
  <si>
    <t>L</t>
  </si>
  <si>
    <t>CP</t>
  </si>
  <si>
    <t>TRIBUTOS (COFINS 3% E PIS 0,65%)</t>
  </si>
  <si>
    <t>ISS</t>
  </si>
  <si>
    <t>TRIBUTOS (ISSQN)</t>
  </si>
  <si>
    <t>CPRB</t>
  </si>
  <si>
    <t>TRIBUTOS (CP SOBRE RB - DESONER.)</t>
  </si>
  <si>
    <t>SEM DESONERAÇÃO (Fórmula Acórdão TCU)</t>
  </si>
  <si>
    <t>COM DESONERAÇÃO</t>
  </si>
  <si>
    <t>Os valores de BDI foram calculados com o emprego da fórmula:</t>
  </si>
  <si>
    <t>DI</t>
  </si>
  <si>
    <t>DESPESAS INDIRETAS</t>
  </si>
  <si>
    <t>I</t>
  </si>
  <si>
    <t>IMPOSTOS E TRIBUTOS</t>
  </si>
  <si>
    <t>LDI</t>
  </si>
  <si>
    <t>LUCRATIVIDADE E DESPESAS INDIRETAS</t>
  </si>
  <si>
    <t>De acordo com o BANCO DE PREÇOS DE OBRAS E SERVIÇOS DE ENGENHARIA da SABESP (jan/24).</t>
  </si>
  <si>
    <t>O VALOR DO BDI 2 ADOTADO (conforme SABESP):</t>
  </si>
  <si>
    <r>
      <t xml:space="preserve">SINAPI 02-2024 / CPOS 03-2024 / SABESP 01-2024 / SBC 03-2024
</t>
    </r>
    <r>
      <rPr>
        <b/>
        <sz val="10"/>
        <color rgb="FF000000"/>
        <rFont val="Arial"/>
        <family val="2"/>
      </rPr>
      <t>(NÃO DESONERADO)</t>
    </r>
  </si>
  <si>
    <t>SERVIÇOS PRELIMINARES E CANTEIRO DE OBRAS</t>
  </si>
  <si>
    <r>
      <t xml:space="preserve">CONJUNTO MOTOR-BOMBA CENTRÍFUGA (Q=250M3/H, HMAN=28MCA) - </t>
    </r>
    <r>
      <rPr>
        <b/>
        <sz val="10"/>
        <rFont val="Cambria"/>
        <family val="1"/>
      </rPr>
      <t>VIDE ESPECIFICAÇÕES TÉCNICAS NO MEMORIAL DESCRITIVO</t>
    </r>
  </si>
  <si>
    <t>LOCAL, __ de maio de 2024.</t>
  </si>
  <si>
    <r>
      <rPr>
        <b/>
        <sz val="18"/>
        <rFont val="Cambria"/>
        <family val="1"/>
      </rPr>
      <t xml:space="preserve">
DEMONSTRATIVO DO BDI  (ITEM 2)
</t>
    </r>
    <r>
      <rPr>
        <sz val="12"/>
        <rFont val="Cambria"/>
        <family val="1"/>
      </rPr>
      <t>IMPLANTAÇÃO, CASA DE BOMAS/QUÍMICA, RESERVATÓRIO APOIADO E ADUTORA</t>
    </r>
    <r>
      <rPr>
        <b/>
        <sz val="18"/>
        <rFont val="Cambria"/>
        <family val="1"/>
      </rPr>
      <t xml:space="preserve">
</t>
    </r>
    <r>
      <rPr>
        <sz val="11"/>
        <rFont val="Arial"/>
        <family val="2"/>
      </rPr>
      <t xml:space="preserve">
</t>
    </r>
    <r>
      <rPr>
        <b/>
        <sz val="11"/>
        <rFont val="Myriad Pro"/>
        <family val="2"/>
      </rPr>
      <t/>
    </r>
  </si>
  <si>
    <r>
      <rPr>
        <b/>
        <sz val="24"/>
        <rFont val="Cambria"/>
        <family val="1"/>
      </rPr>
      <t xml:space="preserve">PLANILHA ORÇAMENTÁRIA (ITEM 2)
</t>
    </r>
    <r>
      <rPr>
        <sz val="12"/>
        <rFont val="Cambria"/>
        <family val="1"/>
      </rPr>
      <t>IMPLANTAÇÃO, CASA DE BOMAS/QUÍMICA, RESERVATÓRIO APOIADO E ADUTORA</t>
    </r>
    <r>
      <rPr>
        <b/>
        <sz val="18"/>
        <rFont val="Cambria"/>
        <family val="1"/>
      </rPr>
      <t xml:space="preserve">
</t>
    </r>
    <r>
      <rPr>
        <sz val="11"/>
        <rFont val="Myriad Pro"/>
        <family val="2"/>
      </rPr>
      <t xml:space="preserve">
</t>
    </r>
    <r>
      <rPr>
        <b/>
        <sz val="11"/>
        <rFont val="Myriad Pro"/>
        <family val="2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</si>
</sst>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#,##0.00\ "/>
    <numFmt numFmtId="166" formatCode="_(&quot;R$ &quot;* #,##0.00_);_(&quot;R$ &quot;* \(#,##0.00\);_(&quot;R$ &quot;* \-??_);_(@_)"/>
  </numFmts>
  <fonts count="35" x14ac:knownFonts="1">
    <font>
      <sz val="10"/>
      <name val="Arial"/>
      <charset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ahoma"/>
      <family val="2"/>
      <charset val="1"/>
    </font>
    <font>
      <b/>
      <sz val="11"/>
      <color rgb="FF000000"/>
      <name val="Calibri"/>
      <family val="2"/>
      <charset val="1"/>
    </font>
    <font>
      <sz val="10"/>
      <name val="Tahoma"/>
      <family val="2"/>
      <charset val="1"/>
    </font>
    <font>
      <sz val="12"/>
      <name val="Arial"/>
      <family val="2"/>
      <charset val="1"/>
    </font>
    <font>
      <b/>
      <sz val="12"/>
      <name val="Tahoma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b/>
      <sz val="10"/>
      <name val="Cambria"/>
      <family val="1"/>
    </font>
    <font>
      <b/>
      <sz val="11"/>
      <color rgb="FF000000"/>
      <name val="Cambria"/>
      <family val="1"/>
    </font>
    <font>
      <sz val="10"/>
      <name val="Cambria"/>
      <family val="1"/>
    </font>
    <font>
      <sz val="12"/>
      <name val="Cambria"/>
      <family val="1"/>
    </font>
    <font>
      <b/>
      <sz val="14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b/>
      <sz val="12"/>
      <color theme="0"/>
      <name val="Cambria"/>
      <family val="1"/>
    </font>
    <font>
      <b/>
      <sz val="11"/>
      <name val="Cambria"/>
      <family val="1"/>
    </font>
    <font>
      <b/>
      <sz val="24"/>
      <name val="Cambria"/>
      <family val="1"/>
    </font>
    <font>
      <b/>
      <sz val="18"/>
      <name val="Cambria"/>
      <family val="1"/>
    </font>
    <font>
      <sz val="11"/>
      <name val="Myriad Pro"/>
      <family val="2"/>
    </font>
    <font>
      <b/>
      <sz val="11"/>
      <name val="Myriad Pro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i/>
      <sz val="10"/>
      <name val="Cambria"/>
      <family val="1"/>
    </font>
    <font>
      <b/>
      <sz val="12"/>
      <name val="Cambria"/>
      <family val="1"/>
    </font>
    <font>
      <b/>
      <sz val="12"/>
      <name val="Arial"/>
      <family val="2"/>
      <charset val="1"/>
    </font>
    <font>
      <sz val="11"/>
      <name val="Arial"/>
      <family val="2"/>
    </font>
    <font>
      <b/>
      <sz val="14"/>
      <name val="Cambria"/>
      <family val="1"/>
    </font>
    <font>
      <i/>
      <sz val="10"/>
      <name val="Cambria"/>
      <family val="1"/>
    </font>
    <font>
      <i/>
      <sz val="10"/>
      <name val="Arial"/>
      <family val="2"/>
    </font>
    <font>
      <b/>
      <sz val="9"/>
      <color indexed="81"/>
      <name val="Segoe U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BFBFB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rgb="FFBFBFBF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9" fillId="0" borderId="0" applyBorder="0" applyProtection="0"/>
    <xf numFmtId="166" fontId="9" fillId="0" borderId="0" applyBorder="0" applyProtection="0"/>
    <xf numFmtId="9" fontId="9" fillId="0" borderId="0" applyBorder="0" applyProtection="0"/>
    <xf numFmtId="0" fontId="1" fillId="0" borderId="0"/>
  </cellStyleXfs>
  <cellXfs count="224">
    <xf numFmtId="0" fontId="0" fillId="0" borderId="0" xfId="0"/>
    <xf numFmtId="0" fontId="0" fillId="0" borderId="0" xfId="0" applyAlignment="1">
      <alignment vertical="center"/>
    </xf>
    <xf numFmtId="49" fontId="13" fillId="0" borderId="0" xfId="0" applyNumberFormat="1" applyFont="1" applyBorder="1" applyAlignment="1">
      <alignment horizontal="left" vertical="center" wrapText="1"/>
    </xf>
    <xf numFmtId="49" fontId="13" fillId="0" borderId="0" xfId="0" applyNumberFormat="1" applyFont="1" applyBorder="1" applyAlignment="1">
      <alignment horizontal="center" vertical="center" wrapText="1"/>
    </xf>
    <xf numFmtId="4" fontId="13" fillId="0" borderId="0" xfId="1" applyNumberFormat="1" applyFont="1" applyBorder="1" applyAlignment="1" applyProtection="1">
      <alignment horizontal="right" vertical="center"/>
    </xf>
    <xf numFmtId="0" fontId="13" fillId="0" borderId="0" xfId="0" applyFont="1" applyAlignment="1">
      <alignment vertical="center"/>
    </xf>
    <xf numFmtId="0" fontId="4" fillId="2" borderId="0" xfId="0" applyFont="1" applyFill="1" applyBorder="1" applyAlignment="1">
      <alignment horizontal="center" vertical="center" wrapText="1"/>
    </xf>
    <xf numFmtId="4" fontId="3" fillId="3" borderId="0" xfId="1" applyNumberFormat="1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>
      <alignment vertical="center"/>
    </xf>
    <xf numFmtId="166" fontId="7" fillId="3" borderId="0" xfId="2" applyFont="1" applyFill="1" applyBorder="1" applyAlignment="1" applyProtection="1">
      <alignment horizontal="center" vertical="center" wrapText="1"/>
    </xf>
    <xf numFmtId="164" fontId="5" fillId="2" borderId="0" xfId="1" applyFont="1" applyFill="1" applyBorder="1" applyAlignment="1" applyProtection="1">
      <alignment horizontal="right" vertical="center"/>
    </xf>
    <xf numFmtId="164" fontId="0" fillId="2" borderId="0" xfId="1" applyFont="1" applyFill="1" applyBorder="1" applyAlignment="1" applyProtection="1">
      <alignment vertical="center"/>
    </xf>
    <xf numFmtId="0" fontId="13" fillId="0" borderId="7" xfId="0" applyFont="1" applyFill="1" applyBorder="1" applyAlignment="1">
      <alignment horizontal="center" vertical="center" wrapText="1"/>
    </xf>
    <xf numFmtId="0" fontId="13" fillId="0" borderId="7" xfId="0" quotePrefix="1" applyFont="1" applyBorder="1" applyAlignment="1">
      <alignment horizontal="center" vertical="center"/>
    </xf>
    <xf numFmtId="0" fontId="13" fillId="0" borderId="7" xfId="0" applyFont="1" applyBorder="1" applyAlignment="1">
      <alignment vertical="center" wrapText="1"/>
    </xf>
    <xf numFmtId="165" fontId="13" fillId="0" borderId="7" xfId="0" applyNumberFormat="1" applyFont="1" applyBorder="1" applyAlignment="1">
      <alignment horizontal="center" vertical="center" wrapText="1"/>
    </xf>
    <xf numFmtId="164" fontId="13" fillId="0" borderId="7" xfId="1" applyFont="1" applyBorder="1" applyAlignment="1" applyProtection="1">
      <alignment vertical="center"/>
    </xf>
    <xf numFmtId="164" fontId="13" fillId="0" borderId="7" xfId="1" applyFont="1" applyFill="1" applyBorder="1" applyAlignment="1" applyProtection="1">
      <alignment vertical="center"/>
    </xf>
    <xf numFmtId="0" fontId="13" fillId="0" borderId="7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8" fillId="0" borderId="8" xfId="0" applyFont="1" applyBorder="1" applyAlignment="1">
      <alignment vertical="center" wrapText="1"/>
    </xf>
    <xf numFmtId="0" fontId="16" fillId="0" borderId="11" xfId="0" quotePrefix="1" applyFont="1" applyBorder="1" applyAlignment="1">
      <alignment horizontal="center" vertical="center" wrapText="1"/>
    </xf>
    <xf numFmtId="17" fontId="16" fillId="0" borderId="11" xfId="0" quotePrefix="1" applyNumberFormat="1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64" fontId="13" fillId="0" borderId="7" xfId="1" applyFont="1" applyFill="1" applyBorder="1" applyAlignment="1" applyProtection="1">
      <alignment horizontal="center" vertical="center"/>
    </xf>
    <xf numFmtId="10" fontId="9" fillId="0" borderId="11" xfId="3" applyNumberFormat="1" applyBorder="1" applyAlignment="1">
      <alignment horizontal="center" vertical="center"/>
    </xf>
    <xf numFmtId="10" fontId="9" fillId="0" borderId="8" xfId="3" applyNumberFormat="1" applyBorder="1" applyAlignment="1">
      <alignment horizontal="center" vertical="center"/>
    </xf>
    <xf numFmtId="10" fontId="2" fillId="0" borderId="8" xfId="3" applyNumberFormat="1" applyFont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4" fontId="10" fillId="0" borderId="14" xfId="1" applyNumberFormat="1" applyFont="1" applyFill="1" applyBorder="1" applyAlignment="1" applyProtection="1">
      <alignment horizontal="center" vertical="center" wrapText="1"/>
    </xf>
    <xf numFmtId="4" fontId="15" fillId="0" borderId="14" xfId="1" applyNumberFormat="1" applyFont="1" applyFill="1" applyBorder="1" applyAlignment="1" applyProtection="1">
      <alignment horizontal="center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2" xfId="0" quotePrefix="1" applyFont="1" applyBorder="1" applyAlignment="1">
      <alignment horizontal="center" vertical="center"/>
    </xf>
    <xf numFmtId="0" fontId="13" fillId="0" borderId="12" xfId="0" applyFont="1" applyBorder="1" applyAlignment="1">
      <alignment vertical="center" wrapText="1"/>
    </xf>
    <xf numFmtId="165" fontId="13" fillId="0" borderId="12" xfId="0" applyNumberFormat="1" applyFont="1" applyBorder="1" applyAlignment="1">
      <alignment horizontal="center" vertical="center" wrapText="1"/>
    </xf>
    <xf numFmtId="164" fontId="13" fillId="0" borderId="12" xfId="1" applyFont="1" applyBorder="1" applyAlignment="1" applyProtection="1">
      <alignment vertical="center"/>
    </xf>
    <xf numFmtId="164" fontId="13" fillId="0" borderId="12" xfId="1" applyFont="1" applyFill="1" applyBorder="1" applyAlignment="1" applyProtection="1">
      <alignment vertical="center"/>
    </xf>
    <xf numFmtId="164" fontId="13" fillId="0" borderId="12" xfId="1" applyFont="1" applyFill="1" applyBorder="1" applyAlignment="1" applyProtection="1">
      <alignment horizontal="center" vertical="center"/>
    </xf>
    <xf numFmtId="0" fontId="14" fillId="0" borderId="12" xfId="0" applyFont="1" applyBorder="1" applyAlignment="1">
      <alignment horizontal="right" vertical="center"/>
    </xf>
    <xf numFmtId="0" fontId="8" fillId="2" borderId="0" xfId="0" applyFont="1" applyFill="1" applyBorder="1" applyAlignment="1">
      <alignment vertical="top"/>
    </xf>
    <xf numFmtId="0" fontId="6" fillId="2" borderId="0" xfId="0" applyFont="1" applyFill="1" applyBorder="1" applyAlignment="1">
      <alignment vertical="top"/>
    </xf>
    <xf numFmtId="0" fontId="13" fillId="0" borderId="5" xfId="0" applyFont="1" applyBorder="1" applyAlignment="1">
      <alignment vertical="top"/>
    </xf>
    <xf numFmtId="0" fontId="13" fillId="0" borderId="0" xfId="0" applyFont="1" applyFill="1" applyBorder="1" applyAlignment="1">
      <alignment horizontal="left" vertical="center"/>
    </xf>
    <xf numFmtId="164" fontId="13" fillId="0" borderId="0" xfId="1" applyFont="1" applyBorder="1" applyAlignment="1" applyProtection="1">
      <alignment horizontal="right" vertical="center"/>
    </xf>
    <xf numFmtId="0" fontId="13" fillId="0" borderId="0" xfId="0" applyFont="1" applyAlignment="1">
      <alignment horizontal="center" vertical="center"/>
    </xf>
    <xf numFmtId="0" fontId="14" fillId="0" borderId="7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>
      <alignment horizontal="left" vertical="center"/>
    </xf>
    <xf numFmtId="0" fontId="2" fillId="0" borderId="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7" fillId="0" borderId="3" xfId="0" applyFont="1" applyBorder="1" applyAlignment="1">
      <alignment horizontal="left" vertical="center" wrapText="1"/>
    </xf>
    <xf numFmtId="0" fontId="2" fillId="0" borderId="9" xfId="0" applyFont="1" applyBorder="1" applyAlignment="1">
      <alignment vertical="center"/>
    </xf>
    <xf numFmtId="0" fontId="11" fillId="4" borderId="4" xfId="0" applyFont="1" applyFill="1" applyBorder="1" applyAlignment="1">
      <alignment horizontal="left" vertical="top" wrapText="1"/>
    </xf>
    <xf numFmtId="0" fontId="11" fillId="4" borderId="5" xfId="0" applyFont="1" applyFill="1" applyBorder="1" applyAlignment="1">
      <alignment horizontal="center" vertical="top" wrapText="1"/>
    </xf>
    <xf numFmtId="0" fontId="11" fillId="4" borderId="5" xfId="0" quotePrefix="1" applyFont="1" applyFill="1" applyBorder="1" applyAlignment="1">
      <alignment horizontal="center" vertical="top"/>
    </xf>
    <xf numFmtId="0" fontId="11" fillId="4" borderId="5" xfId="0" applyFont="1" applyFill="1" applyBorder="1" applyAlignment="1">
      <alignment vertical="top" wrapText="1"/>
    </xf>
    <xf numFmtId="165" fontId="11" fillId="4" borderId="5" xfId="0" applyNumberFormat="1" applyFont="1" applyFill="1" applyBorder="1" applyAlignment="1">
      <alignment horizontal="center" vertical="top" wrapText="1"/>
    </xf>
    <xf numFmtId="4" fontId="11" fillId="4" borderId="5" xfId="1" applyNumberFormat="1" applyFont="1" applyFill="1" applyBorder="1" applyAlignment="1" applyProtection="1">
      <alignment horizontal="center" vertical="top" wrapText="1"/>
    </xf>
    <xf numFmtId="166" fontId="11" fillId="4" borderId="5" xfId="2" applyFont="1" applyFill="1" applyBorder="1" applyAlignment="1" applyProtection="1">
      <alignment vertical="top"/>
    </xf>
    <xf numFmtId="10" fontId="11" fillId="4" borderId="6" xfId="3" applyNumberFormat="1" applyFont="1" applyFill="1" applyBorder="1" applyAlignment="1">
      <alignment horizontal="right" vertical="top"/>
    </xf>
    <xf numFmtId="165" fontId="11" fillId="4" borderId="5" xfId="0" applyNumberFormat="1" applyFont="1" applyFill="1" applyBorder="1" applyAlignment="1">
      <alignment horizontal="right" vertical="top" wrapText="1"/>
    </xf>
    <xf numFmtId="4" fontId="11" fillId="4" borderId="5" xfId="1" applyNumberFormat="1" applyFont="1" applyFill="1" applyBorder="1" applyAlignment="1" applyProtection="1">
      <alignment horizontal="left" vertical="top" wrapText="1"/>
    </xf>
    <xf numFmtId="166" fontId="19" fillId="5" borderId="5" xfId="2" applyFont="1" applyFill="1" applyBorder="1" applyAlignment="1" applyProtection="1">
      <alignment horizontal="center" vertical="center" wrapText="1"/>
    </xf>
    <xf numFmtId="9" fontId="19" fillId="6" borderId="6" xfId="3" applyNumberFormat="1" applyFont="1" applyFill="1" applyBorder="1" applyAlignment="1" applyProtection="1">
      <alignment horizontal="center" vertical="center"/>
    </xf>
    <xf numFmtId="49" fontId="25" fillId="0" borderId="0" xfId="0" applyNumberFormat="1" applyFont="1" applyBorder="1" applyAlignment="1">
      <alignment vertical="center"/>
    </xf>
    <xf numFmtId="0" fontId="26" fillId="0" borderId="0" xfId="0" applyFont="1" applyAlignment="1">
      <alignment vertical="top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25" fillId="0" borderId="0" xfId="0" applyFont="1"/>
    <xf numFmtId="49" fontId="25" fillId="0" borderId="0" xfId="0" applyNumberFormat="1" applyFont="1" applyBorder="1" applyAlignment="1">
      <alignment horizontal="center" vertical="center" wrapText="1"/>
    </xf>
    <xf numFmtId="0" fontId="25" fillId="0" borderId="0" xfId="0" applyFont="1" applyAlignment="1">
      <alignment vertical="top"/>
    </xf>
    <xf numFmtId="0" fontId="13" fillId="0" borderId="7" xfId="0" quotePrefix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vertical="center" wrapText="1"/>
    </xf>
    <xf numFmtId="165" fontId="13" fillId="0" borderId="7" xfId="0" applyNumberFormat="1" applyFont="1" applyFill="1" applyBorder="1" applyAlignment="1">
      <alignment horizontal="center" vertical="center" wrapText="1"/>
    </xf>
    <xf numFmtId="164" fontId="13" fillId="0" borderId="7" xfId="1" applyFont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top"/>
    </xf>
    <xf numFmtId="0" fontId="13" fillId="0" borderId="12" xfId="0" quotePrefix="1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vertical="center" wrapText="1"/>
    </xf>
    <xf numFmtId="165" fontId="13" fillId="0" borderId="12" xfId="0" applyNumberFormat="1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right" vertical="center"/>
    </xf>
    <xf numFmtId="0" fontId="11" fillId="0" borderId="12" xfId="0" applyFont="1" applyBorder="1" applyAlignment="1">
      <alignment vertical="center" wrapText="1"/>
    </xf>
    <xf numFmtId="0" fontId="11" fillId="0" borderId="12" xfId="0" applyFont="1" applyFill="1" applyBorder="1" applyAlignment="1">
      <alignment horizontal="center" vertical="center" wrapText="1"/>
    </xf>
    <xf numFmtId="164" fontId="11" fillId="0" borderId="12" xfId="1" applyFont="1" applyFill="1" applyBorder="1" applyAlignment="1" applyProtection="1">
      <alignment vertical="center"/>
    </xf>
    <xf numFmtId="164" fontId="11" fillId="0" borderId="12" xfId="1" applyFont="1" applyFill="1" applyBorder="1" applyAlignment="1" applyProtection="1">
      <alignment horizontal="center" vertical="center"/>
    </xf>
    <xf numFmtId="0" fontId="29" fillId="2" borderId="0" xfId="0" applyFont="1" applyFill="1" applyBorder="1" applyAlignment="1">
      <alignment vertical="center"/>
    </xf>
    <xf numFmtId="0" fontId="26" fillId="0" borderId="0" xfId="0" applyFont="1" applyAlignment="1">
      <alignment vertical="center"/>
    </xf>
    <xf numFmtId="0" fontId="11" fillId="0" borderId="12" xfId="0" applyFont="1" applyFill="1" applyBorder="1" applyAlignment="1">
      <alignment horizontal="left" vertical="center" wrapText="1"/>
    </xf>
    <xf numFmtId="0" fontId="11" fillId="0" borderId="12" xfId="0" quotePrefix="1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vertical="center" wrapText="1"/>
    </xf>
    <xf numFmtId="165" fontId="11" fillId="0" borderId="12" xfId="0" applyNumberFormat="1" applyFont="1" applyFill="1" applyBorder="1" applyAlignment="1">
      <alignment horizontal="center" vertical="center" wrapText="1"/>
    </xf>
    <xf numFmtId="164" fontId="11" fillId="0" borderId="7" xfId="1" applyFont="1" applyFill="1" applyBorder="1" applyAlignment="1" applyProtection="1">
      <alignment vertical="center"/>
    </xf>
    <xf numFmtId="0" fontId="28" fillId="0" borderId="12" xfId="0" applyFont="1" applyFill="1" applyBorder="1" applyAlignment="1">
      <alignment horizontal="right" vertical="center"/>
    </xf>
    <xf numFmtId="0" fontId="29" fillId="0" borderId="0" xfId="0" applyFont="1" applyFill="1" applyBorder="1" applyAlignment="1">
      <alignment vertical="center"/>
    </xf>
    <xf numFmtId="0" fontId="26" fillId="0" borderId="0" xfId="0" applyFont="1" applyFill="1" applyAlignment="1">
      <alignment vertical="center"/>
    </xf>
    <xf numFmtId="0" fontId="11" fillId="7" borderId="15" xfId="0" applyFont="1" applyFill="1" applyBorder="1" applyAlignment="1">
      <alignment horizontal="left" vertical="center" wrapText="1"/>
    </xf>
    <xf numFmtId="0" fontId="11" fillId="7" borderId="16" xfId="0" applyFont="1" applyFill="1" applyBorder="1" applyAlignment="1">
      <alignment horizontal="center" vertical="center" wrapText="1"/>
    </xf>
    <xf numFmtId="0" fontId="11" fillId="7" borderId="16" xfId="0" quotePrefix="1" applyFont="1" applyFill="1" applyBorder="1" applyAlignment="1">
      <alignment horizontal="center" vertical="center"/>
    </xf>
    <xf numFmtId="0" fontId="11" fillId="7" borderId="16" xfId="0" applyFont="1" applyFill="1" applyBorder="1" applyAlignment="1">
      <alignment vertical="center" wrapText="1"/>
    </xf>
    <xf numFmtId="165" fontId="11" fillId="7" borderId="16" xfId="0" applyNumberFormat="1" applyFont="1" applyFill="1" applyBorder="1" applyAlignment="1">
      <alignment horizontal="center" vertical="center" wrapText="1"/>
    </xf>
    <xf numFmtId="164" fontId="11" fillId="7" borderId="16" xfId="1" applyFont="1" applyFill="1" applyBorder="1" applyAlignment="1" applyProtection="1">
      <alignment vertical="center"/>
    </xf>
    <xf numFmtId="164" fontId="11" fillId="7" borderId="16" xfId="1" applyFont="1" applyFill="1" applyBorder="1" applyAlignment="1" applyProtection="1">
      <alignment horizontal="center" vertical="center"/>
    </xf>
    <xf numFmtId="0" fontId="28" fillId="7" borderId="17" xfId="0" applyFont="1" applyFill="1" applyBorder="1" applyAlignment="1">
      <alignment horizontal="right" vertical="center"/>
    </xf>
    <xf numFmtId="0" fontId="11" fillId="7" borderId="18" xfId="0" applyFont="1" applyFill="1" applyBorder="1" applyAlignment="1">
      <alignment horizontal="left" vertical="center" wrapText="1"/>
    </xf>
    <xf numFmtId="0" fontId="11" fillId="7" borderId="19" xfId="0" applyFont="1" applyFill="1" applyBorder="1" applyAlignment="1">
      <alignment horizontal="center" vertical="center" wrapText="1"/>
    </xf>
    <xf numFmtId="0" fontId="11" fillId="7" borderId="19" xfId="0" quotePrefix="1" applyFont="1" applyFill="1" applyBorder="1" applyAlignment="1">
      <alignment horizontal="center" vertical="center"/>
    </xf>
    <xf numFmtId="0" fontId="11" fillId="7" borderId="19" xfId="0" applyFont="1" applyFill="1" applyBorder="1" applyAlignment="1">
      <alignment vertical="center" wrapText="1"/>
    </xf>
    <xf numFmtId="165" fontId="11" fillId="7" borderId="19" xfId="0" applyNumberFormat="1" applyFont="1" applyFill="1" applyBorder="1" applyAlignment="1">
      <alignment horizontal="center" vertical="center" wrapText="1"/>
    </xf>
    <xf numFmtId="164" fontId="11" fillId="7" borderId="19" xfId="1" applyFont="1" applyFill="1" applyBorder="1" applyAlignment="1" applyProtection="1">
      <alignment vertical="center"/>
    </xf>
    <xf numFmtId="164" fontId="11" fillId="7" borderId="19" xfId="1" applyFont="1" applyFill="1" applyBorder="1" applyAlignment="1" applyProtection="1">
      <alignment horizontal="center" vertical="center"/>
    </xf>
    <xf numFmtId="0" fontId="28" fillId="7" borderId="20" xfId="0" applyFont="1" applyFill="1" applyBorder="1" applyAlignment="1">
      <alignment horizontal="right" vertical="center"/>
    </xf>
    <xf numFmtId="0" fontId="13" fillId="0" borderId="7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1" fillId="7" borderId="19" xfId="0" applyFont="1" applyFill="1" applyBorder="1" applyAlignment="1">
      <alignment vertical="center"/>
    </xf>
    <xf numFmtId="0" fontId="13" fillId="0" borderId="18" xfId="0" applyFont="1" applyBorder="1" applyAlignment="1">
      <alignment horizontal="left" vertical="center" wrapText="1"/>
    </xf>
    <xf numFmtId="3" fontId="13" fillId="0" borderId="7" xfId="0" quotePrefix="1" applyNumberFormat="1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vertical="top"/>
    </xf>
    <xf numFmtId="0" fontId="11" fillId="0" borderId="7" xfId="0" applyFont="1" applyFill="1" applyBorder="1" applyAlignment="1">
      <alignment vertical="center"/>
    </xf>
    <xf numFmtId="0" fontId="11" fillId="8" borderId="18" xfId="0" applyFont="1" applyFill="1" applyBorder="1" applyAlignment="1">
      <alignment horizontal="left" vertical="center" wrapText="1"/>
    </xf>
    <xf numFmtId="0" fontId="11" fillId="8" borderId="19" xfId="0" applyFont="1" applyFill="1" applyBorder="1" applyAlignment="1">
      <alignment horizontal="center" vertical="center" wrapText="1"/>
    </xf>
    <xf numFmtId="0" fontId="11" fillId="8" borderId="19" xfId="0" quotePrefix="1" applyFont="1" applyFill="1" applyBorder="1" applyAlignment="1">
      <alignment horizontal="center" vertical="center"/>
    </xf>
    <xf numFmtId="0" fontId="11" fillId="8" borderId="19" xfId="0" applyFont="1" applyFill="1" applyBorder="1" applyAlignment="1">
      <alignment vertical="center"/>
    </xf>
    <xf numFmtId="165" fontId="11" fillId="8" borderId="19" xfId="0" applyNumberFormat="1" applyFont="1" applyFill="1" applyBorder="1" applyAlignment="1">
      <alignment horizontal="center" vertical="center" wrapText="1"/>
    </xf>
    <xf numFmtId="164" fontId="11" fillId="8" borderId="19" xfId="1" applyFont="1" applyFill="1" applyBorder="1" applyAlignment="1" applyProtection="1">
      <alignment vertical="center"/>
    </xf>
    <xf numFmtId="164" fontId="11" fillId="8" borderId="19" xfId="1" applyFont="1" applyFill="1" applyBorder="1" applyAlignment="1" applyProtection="1">
      <alignment horizontal="center" vertical="center"/>
    </xf>
    <xf numFmtId="0" fontId="28" fillId="8" borderId="20" xfId="0" applyFont="1" applyFill="1" applyBorder="1" applyAlignment="1">
      <alignment horizontal="right" vertical="center"/>
    </xf>
    <xf numFmtId="0" fontId="13" fillId="0" borderId="12" xfId="0" applyFont="1" applyFill="1" applyBorder="1" applyAlignment="1">
      <alignment horizontal="left" vertical="center" wrapText="1"/>
    </xf>
    <xf numFmtId="0" fontId="13" fillId="0" borderId="12" xfId="0" quotePrefix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9" fontId="13" fillId="0" borderId="0" xfId="0" applyNumberFormat="1" applyFont="1" applyBorder="1" applyAlignment="1">
      <alignment vertical="center"/>
    </xf>
    <xf numFmtId="49" fontId="13" fillId="0" borderId="10" xfId="0" applyNumberFormat="1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17" fontId="16" fillId="0" borderId="9" xfId="0" quotePrefix="1" applyNumberFormat="1" applyFont="1" applyBorder="1" applyAlignment="1">
      <alignment horizontal="center" vertical="center" wrapText="1"/>
    </xf>
    <xf numFmtId="10" fontId="2" fillId="0" borderId="23" xfId="3" applyNumberFormat="1" applyFont="1" applyFill="1" applyBorder="1" applyAlignment="1">
      <alignment horizontal="center" vertical="center"/>
    </xf>
    <xf numFmtId="10" fontId="2" fillId="0" borderId="9" xfId="3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10" fontId="2" fillId="0" borderId="0" xfId="3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10" fontId="13" fillId="0" borderId="0" xfId="3" applyNumberFormat="1" applyFont="1" applyFill="1" applyBorder="1" applyAlignment="1">
      <alignment horizontal="center" vertical="center" wrapText="1"/>
    </xf>
    <xf numFmtId="0" fontId="13" fillId="8" borderId="0" xfId="0" applyFont="1" applyFill="1" applyBorder="1" applyAlignment="1">
      <alignment horizontal="center" vertical="center"/>
    </xf>
    <xf numFmtId="10" fontId="13" fillId="8" borderId="0" xfId="3" applyNumberFormat="1" applyFont="1" applyFill="1" applyBorder="1" applyAlignment="1">
      <alignment horizontal="center" vertical="center" wrapText="1"/>
    </xf>
    <xf numFmtId="10" fontId="33" fillId="8" borderId="0" xfId="3" applyNumberFormat="1" applyFont="1" applyFill="1" applyBorder="1" applyAlignment="1">
      <alignment horizontal="center" vertical="center"/>
    </xf>
    <xf numFmtId="10" fontId="13" fillId="0" borderId="0" xfId="3" applyNumberFormat="1" applyFont="1" applyFill="1" applyBorder="1" applyAlignment="1">
      <alignment horizontal="center" vertical="center"/>
    </xf>
    <xf numFmtId="10" fontId="13" fillId="8" borderId="0" xfId="3" applyNumberFormat="1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left" vertical="center"/>
    </xf>
    <xf numFmtId="10" fontId="11" fillId="0" borderId="22" xfId="3" applyNumberFormat="1" applyFont="1" applyFill="1" applyBorder="1" applyAlignment="1">
      <alignment horizontal="center" vertical="center"/>
    </xf>
    <xf numFmtId="10" fontId="32" fillId="0" borderId="22" xfId="3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" fontId="33" fillId="8" borderId="0" xfId="3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0" fontId="11" fillId="0" borderId="0" xfId="3" applyNumberFormat="1" applyFont="1" applyFill="1" applyBorder="1" applyAlignment="1">
      <alignment horizontal="center" vertical="center"/>
    </xf>
    <xf numFmtId="10" fontId="13" fillId="0" borderId="3" xfId="3" applyNumberFormat="1" applyFont="1" applyFill="1" applyBorder="1" applyAlignment="1">
      <alignment horizontal="center" vertical="center"/>
    </xf>
    <xf numFmtId="10" fontId="10" fillId="0" borderId="0" xfId="0" applyNumberFormat="1" applyFont="1" applyAlignment="1">
      <alignment vertical="center"/>
    </xf>
    <xf numFmtId="49" fontId="11" fillId="0" borderId="0" xfId="0" applyNumberFormat="1" applyFont="1" applyFill="1" applyBorder="1" applyAlignment="1">
      <alignment horizontal="center" vertical="center"/>
    </xf>
    <xf numFmtId="10" fontId="33" fillId="0" borderId="0" xfId="3" applyNumberFormat="1" applyFont="1" applyFill="1" applyBorder="1" applyAlignment="1">
      <alignment horizontal="center" vertical="center"/>
    </xf>
    <xf numFmtId="49" fontId="11" fillId="0" borderId="2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17" fontId="33" fillId="0" borderId="0" xfId="3" applyNumberFormat="1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8" borderId="3" xfId="0" applyFont="1" applyFill="1" applyBorder="1" applyAlignment="1">
      <alignment horizontal="center" vertical="center"/>
    </xf>
    <xf numFmtId="10" fontId="13" fillId="8" borderId="3" xfId="3" applyNumberFormat="1" applyFont="1" applyFill="1" applyBorder="1" applyAlignment="1">
      <alignment horizontal="center" vertical="center" wrapText="1"/>
    </xf>
    <xf numFmtId="10" fontId="33" fillId="8" borderId="3" xfId="3" applyNumberFormat="1" applyFont="1" applyFill="1" applyBorder="1" applyAlignment="1">
      <alignment horizontal="center" vertical="center"/>
    </xf>
    <xf numFmtId="17" fontId="33" fillId="8" borderId="3" xfId="3" applyNumberFormat="1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vertical="center"/>
    </xf>
    <xf numFmtId="10" fontId="13" fillId="2" borderId="3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25" fillId="0" borderId="0" xfId="0" applyFont="1" applyFill="1" applyAlignment="1">
      <alignment vertical="center"/>
    </xf>
    <xf numFmtId="164" fontId="13" fillId="0" borderId="0" xfId="1" applyFont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right" wrapText="1"/>
    </xf>
    <xf numFmtId="0" fontId="19" fillId="5" borderId="4" xfId="0" applyFont="1" applyFill="1" applyBorder="1" applyAlignment="1">
      <alignment horizontal="right" vertical="center" wrapText="1"/>
    </xf>
    <xf numFmtId="0" fontId="19" fillId="5" borderId="5" xfId="0" applyFont="1" applyFill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13" fillId="8" borderId="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right" vertical="center" wrapText="1"/>
    </xf>
    <xf numFmtId="0" fontId="2" fillId="0" borderId="22" xfId="0" applyFont="1" applyFill="1" applyBorder="1" applyAlignment="1">
      <alignment horizontal="right" vertical="center" wrapText="1"/>
    </xf>
    <xf numFmtId="0" fontId="2" fillId="0" borderId="8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right" vertical="center"/>
    </xf>
    <xf numFmtId="0" fontId="31" fillId="0" borderId="4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2" fillId="0" borderId="0" xfId="0" applyFont="1" applyBorder="1" applyAlignment="1">
      <alignment horizontal="right" vertical="center"/>
    </xf>
    <xf numFmtId="0" fontId="32" fillId="0" borderId="10" xfId="0" applyFont="1" applyBorder="1" applyAlignment="1">
      <alignment horizontal="right" vertical="center"/>
    </xf>
    <xf numFmtId="0" fontId="0" fillId="0" borderId="0" xfId="0" applyAlignment="1">
      <alignment horizontal="left"/>
    </xf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49" fontId="11" fillId="0" borderId="22" xfId="0" applyNumberFormat="1" applyFont="1" applyFill="1" applyBorder="1" applyAlignment="1">
      <alignment horizontal="center" vertical="center"/>
    </xf>
    <xf numFmtId="0" fontId="13" fillId="8" borderId="3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</cellXfs>
  <cellStyles count="5">
    <cellStyle name="Moeda" xfId="2" builtinId="4"/>
    <cellStyle name="Normal" xfId="0" builtinId="0"/>
    <cellStyle name="Normal 2" xfId="4"/>
    <cellStyle name="Porcentagem" xfId="3" builtinId="5"/>
    <cellStyle name="Vírgula" xfId="1" builtinId="3"/>
  </cellStyles>
  <dxfs count="3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5F9ED7"/>
      <color rgb="FFE1F4FF"/>
      <color rgb="FFCCECFF"/>
      <color rgb="FF003399"/>
      <color rgb="FF33CCFF"/>
      <color rgb="FF3399FF"/>
      <color rgb="FF004274"/>
      <color rgb="FFDFED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trlProps/ctrlProp1.xml><?xml version="1.0" encoding="utf-8"?>
<formControlPr xmlns="http://schemas.microsoft.com/office/spreadsheetml/2009/9/main" objectType="CheckBox" checked="Checked" fmlaLink="[2]DADOS!$D$52" lockText="1" noThreeD="1"/>
</file>

<file path=xl/ctrlProps/ctrlProp2.xml><?xml version="1.0" encoding="utf-8"?>
<formControlPr xmlns="http://schemas.microsoft.com/office/spreadsheetml/2009/9/main" objectType="CheckBox" fmlaLink="[2]DADOS!$D$53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1203293</xdr:colOff>
      <xdr:row>32</xdr:row>
      <xdr:rowOff>117951</xdr:rowOff>
    </xdr:from>
    <xdr:ext cx="3279424" cy="32861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aixaDeTexto 1"/>
            <xdr:cNvSpPr txBox="1"/>
          </xdr:nvSpPr>
          <xdr:spPr>
            <a:xfrm>
              <a:off x="2089118" y="9642951"/>
              <a:ext cx="3279424" cy="32861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sty m:val="p"/>
                      </m:rPr>
                      <a:rPr lang="pt-BR" sz="1100" b="0" i="0">
                        <a:latin typeface="Cambria Math" panose="02040503050406030204" pitchFamily="18" charset="0"/>
                      </a:rPr>
                      <m:t>BDI</m:t>
                    </m:r>
                    <m:r>
                      <a:rPr lang="pt-BR" sz="1100" b="0" i="0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pt-BR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d>
                          <m:dPr>
                            <m:ctrlPr>
                              <a:rPr lang="pt-BR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pt-BR" sz="1100" b="0" i="0">
                                <a:latin typeface="Cambria Math" panose="02040503050406030204" pitchFamily="18" charset="0"/>
                              </a:rPr>
                              <m:t>1+</m:t>
                            </m:r>
                            <m:r>
                              <m:rPr>
                                <m:sty m:val="p"/>
                              </m:rPr>
                              <a:rPr lang="pt-BR" sz="1100" b="0" i="0">
                                <a:latin typeface="Cambria Math" panose="02040503050406030204" pitchFamily="18" charset="0"/>
                              </a:rPr>
                              <m:t>AC</m:t>
                            </m:r>
                            <m:r>
                              <a:rPr lang="pt-BR" sz="1100" b="0" i="0">
                                <a:latin typeface="Cambria Math" panose="02040503050406030204" pitchFamily="18" charset="0"/>
                              </a:rPr>
                              <m:t>+</m:t>
                            </m:r>
                            <m:r>
                              <m:rPr>
                                <m:sty m:val="p"/>
                              </m:rPr>
                              <a:rPr lang="pt-BR" sz="1100" b="0" i="0">
                                <a:latin typeface="Cambria Math" panose="02040503050406030204" pitchFamily="18" charset="0"/>
                              </a:rPr>
                              <m:t>S</m:t>
                            </m:r>
                            <m:r>
                              <a:rPr lang="pt-BR" sz="1100" b="0" i="0">
                                <a:latin typeface="Cambria Math" panose="02040503050406030204" pitchFamily="18" charset="0"/>
                              </a:rPr>
                              <m:t>+</m:t>
                            </m:r>
                            <m:r>
                              <m:rPr>
                                <m:sty m:val="p"/>
                              </m:rPr>
                              <a:rPr lang="pt-BR" sz="1100" b="0" i="0">
                                <a:latin typeface="Cambria Math" panose="02040503050406030204" pitchFamily="18" charset="0"/>
                              </a:rPr>
                              <m:t>R</m:t>
                            </m:r>
                            <m:r>
                              <a:rPr lang="pt-BR" sz="1100" b="0" i="0">
                                <a:latin typeface="Cambria Math" panose="02040503050406030204" pitchFamily="18" charset="0"/>
                              </a:rPr>
                              <m:t>+</m:t>
                            </m:r>
                            <m:r>
                              <m:rPr>
                                <m:sty m:val="p"/>
                              </m:rPr>
                              <a:rPr lang="pt-BR" sz="1100" b="0" i="0">
                                <a:latin typeface="Cambria Math" panose="02040503050406030204" pitchFamily="18" charset="0"/>
                              </a:rPr>
                              <m:t>G</m:t>
                            </m:r>
                          </m:e>
                        </m:d>
                        <m:r>
                          <a:rPr lang="pt-BR" sz="1100" b="0" i="0">
                            <a:latin typeface="Cambria Math" panose="02040503050406030204" pitchFamily="18" charset="0"/>
                          </a:rPr>
                          <m:t>∗</m:t>
                        </m:r>
                        <m:d>
                          <m:dPr>
                            <m:ctrlPr>
                              <a:rPr lang="pt-BR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pt-BR" sz="1100" b="0" i="0">
                                <a:latin typeface="Cambria Math" panose="02040503050406030204" pitchFamily="18" charset="0"/>
                              </a:rPr>
                              <m:t>1+</m:t>
                            </m:r>
                            <m:r>
                              <m:rPr>
                                <m:sty m:val="p"/>
                              </m:rPr>
                              <a:rPr lang="pt-BR" sz="1100" b="0" i="0">
                                <a:latin typeface="Cambria Math" panose="02040503050406030204" pitchFamily="18" charset="0"/>
                              </a:rPr>
                              <m:t>DF</m:t>
                            </m:r>
                          </m:e>
                        </m:d>
                        <m:r>
                          <a:rPr lang="pt-BR" sz="1100" b="0" i="0">
                            <a:latin typeface="Cambria Math" panose="02040503050406030204" pitchFamily="18" charset="0"/>
                          </a:rPr>
                          <m:t>∗</m:t>
                        </m:r>
                        <m:d>
                          <m:dPr>
                            <m:ctrlPr>
                              <a:rPr lang="pt-BR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pt-BR" sz="1100" b="0" i="0">
                                <a:latin typeface="Cambria Math" panose="02040503050406030204" pitchFamily="18" charset="0"/>
                              </a:rPr>
                              <m:t>1+</m:t>
                            </m:r>
                            <m:r>
                              <m:rPr>
                                <m:sty m:val="p"/>
                              </m:rPr>
                              <a:rPr lang="pt-BR" sz="1100" b="0" i="0">
                                <a:latin typeface="Cambria Math" panose="02040503050406030204" pitchFamily="18" charset="0"/>
                              </a:rPr>
                              <m:t>L</m:t>
                            </m:r>
                          </m:e>
                        </m:d>
                      </m:num>
                      <m:den>
                        <m:r>
                          <a:rPr lang="pt-BR" sz="1100" b="0" i="0">
                            <a:latin typeface="Cambria Math" panose="02040503050406030204" pitchFamily="18" charset="0"/>
                          </a:rPr>
                          <m:t>1−</m:t>
                        </m:r>
                        <m:r>
                          <m:rPr>
                            <m:sty m:val="p"/>
                          </m:rPr>
                          <a:rPr lang="pt-BR" sz="1100" b="0" i="0">
                            <a:latin typeface="Cambria Math" panose="02040503050406030204" pitchFamily="18" charset="0"/>
                          </a:rPr>
                          <m:t>CP</m:t>
                        </m:r>
                        <m:r>
                          <a:rPr lang="pt-BR" sz="1100" b="0" i="0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m:rPr>
                            <m:sty m:val="p"/>
                          </m:rPr>
                          <a:rPr lang="pt-BR" sz="1100" b="0" i="0">
                            <a:latin typeface="Cambria Math" panose="02040503050406030204" pitchFamily="18" charset="0"/>
                          </a:rPr>
                          <m:t>ISS</m:t>
                        </m:r>
                        <m:r>
                          <a:rPr lang="pt-BR" sz="1100" b="0" i="0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m:rPr>
                            <m:sty m:val="p"/>
                          </m:rPr>
                          <a:rPr lang="pt-BR" sz="1100" b="0" i="0">
                            <a:latin typeface="Cambria Math" panose="02040503050406030204" pitchFamily="18" charset="0"/>
                          </a:rPr>
                          <m:t>CRPB</m:t>
                        </m:r>
                      </m:den>
                    </m:f>
                    <m:r>
                      <a:rPr lang="pt-BR" sz="1100" b="0" i="0">
                        <a:latin typeface="Cambria Math" panose="02040503050406030204" pitchFamily="18" charset="0"/>
                      </a:rPr>
                      <m:t>−1</m:t>
                    </m:r>
                  </m:oMath>
                </m:oMathPara>
              </a14:m>
              <a:endParaRPr lang="pt-BR" sz="1100" b="0" i="0">
                <a:latin typeface="Cambria" panose="02040503050406030204" pitchFamily="18" charset="0"/>
                <a:ea typeface="Cambria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2" name="CaixaDeTexto 1"/>
            <xdr:cNvSpPr txBox="1"/>
          </xdr:nvSpPr>
          <xdr:spPr>
            <a:xfrm>
              <a:off x="2089118" y="9642951"/>
              <a:ext cx="3279424" cy="32861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t-BR" sz="1100" b="0" i="0">
                  <a:latin typeface="Cambria Math" panose="02040503050406030204" pitchFamily="18" charset="0"/>
                </a:rPr>
                <a:t>BDI=((1+AC+S+R+G)∗(1+DF)∗(1+L))/(1−CP−ISS−CRPB)−1</a:t>
              </a:r>
              <a:endParaRPr lang="pt-BR" sz="1100" b="0" i="0">
                <a:latin typeface="Cambria" panose="02040503050406030204" pitchFamily="18" charset="0"/>
                <a:ea typeface="Cambria" panose="02040503050406030204" pitchFamily="18" charset="0"/>
              </a:endParaRPr>
            </a:p>
          </xdr:txBody>
        </xdr:sp>
      </mc:Fallback>
    </mc:AlternateContent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27</xdr:row>
          <xdr:rowOff>0</xdr:rowOff>
        </xdr:from>
        <xdr:to>
          <xdr:col>0</xdr:col>
          <xdr:colOff>314325</xdr:colOff>
          <xdr:row>28</xdr:row>
          <xdr:rowOff>47625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27</xdr:row>
          <xdr:rowOff>180975</xdr:rowOff>
        </xdr:from>
        <xdr:to>
          <xdr:col>0</xdr:col>
          <xdr:colOff>314325</xdr:colOff>
          <xdr:row>29</xdr:row>
          <xdr:rowOff>9525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603218</xdr:colOff>
      <xdr:row>49</xdr:row>
      <xdr:rowOff>98901</xdr:rowOff>
    </xdr:from>
    <xdr:ext cx="1403461" cy="31688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aixaDeTexto 4"/>
            <xdr:cNvSpPr txBox="1"/>
          </xdr:nvSpPr>
          <xdr:spPr>
            <a:xfrm>
              <a:off x="2870168" y="13462476"/>
              <a:ext cx="1403461" cy="31688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sty m:val="p"/>
                      </m:rPr>
                      <a:rPr lang="pt-BR" sz="1100" b="0" i="0">
                        <a:latin typeface="Cambria Math" panose="02040503050406030204" pitchFamily="18" charset="0"/>
                      </a:rPr>
                      <m:t>LDI</m:t>
                    </m:r>
                    <m:r>
                      <a:rPr lang="pt-BR" sz="1100" b="0" i="0"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lang="pt-BR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1+</m:t>
                        </m:r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𝐷𝐼</m:t>
                        </m:r>
                      </m:e>
                    </m:d>
                    <m:r>
                      <a:rPr lang="pt-BR" sz="1100" b="0" i="1">
                        <a:latin typeface="Cambria Math" panose="02040503050406030204" pitchFamily="18" charset="0"/>
                      </a:rPr>
                      <m:t>∗</m:t>
                    </m:r>
                    <m:f>
                      <m:fPr>
                        <m:ctrlPr>
                          <a:rPr lang="pt-BR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1+</m:t>
                        </m:r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𝐿</m:t>
                        </m:r>
                      </m:num>
                      <m:den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1−</m:t>
                        </m:r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𝐼</m:t>
                        </m:r>
                      </m:den>
                    </m:f>
                  </m:oMath>
                </m:oMathPara>
              </a14:m>
              <a:endParaRPr lang="pt-BR" sz="1100" b="0" i="0">
                <a:latin typeface="Cambria" panose="02040503050406030204" pitchFamily="18" charset="0"/>
                <a:ea typeface="Cambria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5" name="CaixaDeTexto 4"/>
            <xdr:cNvSpPr txBox="1"/>
          </xdr:nvSpPr>
          <xdr:spPr>
            <a:xfrm>
              <a:off x="2870168" y="13462476"/>
              <a:ext cx="1403461" cy="31688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t-BR" sz="1100" b="0" i="0">
                  <a:latin typeface="Cambria Math" panose="02040503050406030204" pitchFamily="18" charset="0"/>
                </a:rPr>
                <a:t>LDI=(1+𝐷𝐼)∗(1+𝐿)/(1−𝐼)</a:t>
              </a:r>
              <a:endParaRPr lang="pt-BR" sz="1100" b="0" i="0">
                <a:latin typeface="Cambria" panose="02040503050406030204" pitchFamily="18" charset="0"/>
                <a:ea typeface="Cambria" panose="02040503050406030204" pitchFamily="18" charset="0"/>
              </a:endParaRPr>
            </a:p>
          </xdr:txBody>
        </xdr:sp>
      </mc:Fallback>
    </mc:AlternateContent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pp002/OneDrive/Engenharia_PMSA/PROJETOS/2019.003%20-%20REFORMA%20GINASIO%20MARIO%20COVAS/LICITA&#199;&#195;O_R01/PM_V3.0.5-GMC-201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pp002/OneDrive/PROJETOS/031.2023%20-%20Filtro%2002%20ETA%20VP/PLAN-Filtro_02_ETA-R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DADOS"/>
      <sheetName val="NOVO"/>
      <sheetName val="BDI"/>
      <sheetName val="ORÇAMENTO"/>
      <sheetName val="CÁLCULO"/>
      <sheetName val="EVENTOS"/>
      <sheetName val="CRONO"/>
      <sheetName val="CRONOPLE"/>
      <sheetName val="PLE"/>
      <sheetName val="QCI"/>
      <sheetName val="BM"/>
      <sheetName val="RRE"/>
      <sheetName val="OFÍCIO"/>
    </sheetNames>
    <sheetDataSet>
      <sheetData sheetId="0"/>
      <sheetData sheetId="1">
        <row r="18">
          <cell r="F18" t="str">
            <v>DESONERADO</v>
          </cell>
        </row>
      </sheetData>
      <sheetData sheetId="2"/>
      <sheetData sheetId="3">
        <row r="138">
          <cell r="A138" t="str">
            <v>(SELECIONAR)</v>
          </cell>
        </row>
        <row r="139">
          <cell r="A139" t="str">
            <v>Construção e Reforma de Edifícios</v>
          </cell>
        </row>
        <row r="140">
          <cell r="A140" t="str">
            <v>Construção de Praças Urbanas, Rodovias, Ferrovias e recapeamento e pavimentação de vias urbanas</v>
          </cell>
        </row>
        <row r="141">
          <cell r="A141" t="str">
            <v>Construção de Redes de Abastecimento de Água, Coleta de Esgoto</v>
          </cell>
        </row>
        <row r="142">
          <cell r="A142" t="str">
            <v>Construção e Manutenção de Estações e Redes de Distribuição de Energia Elétrica</v>
          </cell>
        </row>
        <row r="143">
          <cell r="A143" t="str">
            <v>Obras Portuárias, Marítimas e Fluviais</v>
          </cell>
        </row>
        <row r="144">
          <cell r="A144" t="str">
            <v>Fornecimento de Materiais e Equipamentos (aquisição indireta - em conjunto com licitação de obras)</v>
          </cell>
        </row>
        <row r="145">
          <cell r="A145" t="str">
            <v>Fornecimento de Materiais e Equipamentos (aquisição direta)</v>
          </cell>
        </row>
        <row r="146">
          <cell r="A146" t="str">
            <v>Estudos e Projetos, Planos e Gerenciamento e outros correlatos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ORÇAMENTO"/>
      <sheetName val="CRONOGRAMA"/>
      <sheetName val="COMPOSIÇÕES"/>
      <sheetName val="COTAÇÕES"/>
      <sheetName val="BDI"/>
      <sheetName val="PLAN-Filtro_02_ETA-R01"/>
    </sheetNames>
    <definedNames>
      <definedName name="Clique1_BDI"/>
    </definedNames>
    <sheetDataSet>
      <sheetData sheetId="0">
        <row r="52">
          <cell r="D52" t="b">
            <v>1</v>
          </cell>
        </row>
        <row r="53">
          <cell r="D53" t="b">
            <v>0</v>
          </cell>
        </row>
      </sheetData>
      <sheetData sheetId="1">
        <row r="52">
          <cell r="J52">
            <v>416538.35999999993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17"/>
  <sheetViews>
    <sheetView showGridLines="0" tabSelected="1" view="pageBreakPreview" zoomScaleNormal="100" zoomScaleSheetLayoutView="100" workbookViewId="0">
      <selection sqref="A1:B1"/>
    </sheetView>
  </sheetViews>
  <sheetFormatPr defaultRowHeight="12.75" outlineLevelRow="1" x14ac:dyDescent="0.2"/>
  <cols>
    <col min="1" max="1" width="7.42578125" customWidth="1"/>
    <col min="2" max="2" width="10.42578125" customWidth="1"/>
    <col min="3" max="3" width="10.28515625" bestFit="1" customWidth="1"/>
    <col min="4" max="4" width="51.140625" bestFit="1" customWidth="1"/>
    <col min="5" max="5" width="7.85546875" customWidth="1"/>
    <col min="6" max="6" width="11.28515625" bestFit="1" customWidth="1"/>
    <col min="7" max="7" width="12.85546875" bestFit="1" customWidth="1"/>
    <col min="8" max="8" width="9.7109375" customWidth="1"/>
    <col min="9" max="9" width="14" bestFit="1" customWidth="1"/>
    <col min="10" max="10" width="19.5703125" bestFit="1" customWidth="1"/>
    <col min="11" max="11" width="10.5703125" bestFit="1" customWidth="1"/>
    <col min="12" max="12" width="2.140625" customWidth="1"/>
    <col min="13" max="16384" width="9.140625" style="79"/>
  </cols>
  <sheetData>
    <row r="1" spans="1:12" s="75" customFormat="1" ht="120" customHeight="1" thickBot="1" x14ac:dyDescent="0.3">
      <c r="A1" s="189"/>
      <c r="B1" s="189"/>
      <c r="C1" s="190" t="s">
        <v>923</v>
      </c>
      <c r="D1" s="190"/>
      <c r="E1" s="190"/>
      <c r="F1" s="190"/>
      <c r="G1" s="190"/>
      <c r="H1" s="190"/>
      <c r="I1" s="190"/>
      <c r="J1" s="190"/>
      <c r="K1" s="190"/>
      <c r="L1" s="6"/>
    </row>
    <row r="2" spans="1:12" s="75" customFormat="1" ht="15" x14ac:dyDescent="0.2">
      <c r="A2" s="21"/>
      <c r="B2" s="21"/>
      <c r="C2" s="19"/>
      <c r="D2" s="19"/>
      <c r="E2" s="19"/>
      <c r="F2" s="19"/>
      <c r="G2" s="19"/>
      <c r="H2" s="19"/>
      <c r="I2" s="19"/>
      <c r="J2" s="19"/>
      <c r="K2" s="19"/>
      <c r="L2" s="6"/>
    </row>
    <row r="3" spans="1:12" s="75" customFormat="1" ht="15" customHeight="1" x14ac:dyDescent="0.2">
      <c r="A3" s="22" t="s">
        <v>40</v>
      </c>
      <c r="B3" s="23"/>
      <c r="C3" s="24"/>
      <c r="D3" s="24"/>
      <c r="E3" s="25"/>
      <c r="F3" s="27" t="s">
        <v>27</v>
      </c>
      <c r="G3" s="196" t="s">
        <v>918</v>
      </c>
      <c r="H3" s="196"/>
      <c r="I3" s="196"/>
      <c r="J3" s="196"/>
      <c r="K3" s="197"/>
      <c r="L3" s="6"/>
    </row>
    <row r="4" spans="1:12" s="75" customFormat="1" ht="15" x14ac:dyDescent="0.2">
      <c r="A4" s="193" t="s">
        <v>185</v>
      </c>
      <c r="B4" s="194"/>
      <c r="C4" s="194"/>
      <c r="D4" s="194"/>
      <c r="E4" s="195"/>
      <c r="F4" s="28"/>
      <c r="G4" s="198"/>
      <c r="H4" s="198"/>
      <c r="I4" s="198"/>
      <c r="J4" s="198"/>
      <c r="K4" s="199"/>
      <c r="L4" s="6"/>
    </row>
    <row r="5" spans="1:12" s="75" customFormat="1" ht="7.5" customHeight="1" x14ac:dyDescent="0.2">
      <c r="A5" s="23"/>
      <c r="B5" s="23"/>
      <c r="C5" s="24"/>
      <c r="D5" s="24"/>
      <c r="E5" s="24"/>
      <c r="F5" s="24"/>
      <c r="G5" s="24"/>
      <c r="H5" s="24"/>
      <c r="I5" s="24"/>
      <c r="J5" s="24"/>
      <c r="K5" s="24"/>
      <c r="L5" s="6"/>
    </row>
    <row r="6" spans="1:12" s="75" customFormat="1" ht="15" x14ac:dyDescent="0.2">
      <c r="A6" s="22" t="s">
        <v>28</v>
      </c>
      <c r="B6" s="23"/>
      <c r="C6" s="24"/>
      <c r="D6" s="24"/>
      <c r="E6" s="24"/>
      <c r="F6" s="31" t="s">
        <v>29</v>
      </c>
      <c r="G6" s="31" t="s">
        <v>30</v>
      </c>
      <c r="H6" s="32" t="s">
        <v>34</v>
      </c>
      <c r="I6" s="32" t="s">
        <v>31</v>
      </c>
      <c r="J6" s="26" t="s">
        <v>33</v>
      </c>
      <c r="K6" s="26" t="s">
        <v>32</v>
      </c>
      <c r="L6" s="6"/>
    </row>
    <row r="7" spans="1:12" s="75" customFormat="1" ht="15" x14ac:dyDescent="0.2">
      <c r="A7" s="59" t="s">
        <v>186</v>
      </c>
      <c r="B7" s="60"/>
      <c r="C7" s="60"/>
      <c r="D7" s="61"/>
      <c r="E7" s="62"/>
      <c r="F7" s="34">
        <v>0.23710000000000001</v>
      </c>
      <c r="G7" s="34">
        <v>0.28000000000000003</v>
      </c>
      <c r="H7" s="35" t="s">
        <v>35</v>
      </c>
      <c r="I7" s="36" t="s">
        <v>35</v>
      </c>
      <c r="J7" s="30">
        <v>45383</v>
      </c>
      <c r="K7" s="29" t="s">
        <v>25</v>
      </c>
      <c r="L7" s="6"/>
    </row>
    <row r="8" spans="1:12" s="75" customFormat="1" ht="15" customHeight="1" x14ac:dyDescent="0.2">
      <c r="A8" s="23"/>
      <c r="B8" s="23"/>
      <c r="C8" s="24"/>
      <c r="D8" s="24"/>
      <c r="E8" s="24"/>
      <c r="F8" s="24"/>
      <c r="G8" s="24"/>
      <c r="H8" s="24"/>
      <c r="I8" s="24"/>
      <c r="J8" s="24"/>
      <c r="K8" s="24"/>
      <c r="L8" s="6"/>
    </row>
    <row r="9" spans="1:12" s="80" customFormat="1" ht="54.95" customHeight="1" x14ac:dyDescent="0.2">
      <c r="A9" s="37" t="s">
        <v>0</v>
      </c>
      <c r="B9" s="37" t="s">
        <v>16</v>
      </c>
      <c r="C9" s="37" t="s">
        <v>1</v>
      </c>
      <c r="D9" s="37" t="s">
        <v>2</v>
      </c>
      <c r="E9" s="37" t="s">
        <v>6</v>
      </c>
      <c r="F9" s="38" t="s">
        <v>3</v>
      </c>
      <c r="G9" s="38" t="s">
        <v>9</v>
      </c>
      <c r="H9" s="38" t="s">
        <v>22</v>
      </c>
      <c r="I9" s="38" t="s">
        <v>10</v>
      </c>
      <c r="J9" s="38" t="s">
        <v>15</v>
      </c>
      <c r="K9" s="39" t="s">
        <v>4</v>
      </c>
      <c r="L9" s="7"/>
    </row>
    <row r="10" spans="1:12" s="76" customFormat="1" ht="30" customHeight="1" x14ac:dyDescent="0.2">
      <c r="A10" s="63" t="s">
        <v>8</v>
      </c>
      <c r="B10" s="64"/>
      <c r="C10" s="65"/>
      <c r="D10" s="66" t="s">
        <v>42</v>
      </c>
      <c r="E10" s="67"/>
      <c r="F10" s="68"/>
      <c r="G10" s="68"/>
      <c r="H10" s="68"/>
      <c r="I10" s="68" t="s">
        <v>17</v>
      </c>
      <c r="J10" s="69">
        <f>SUM(J11:J30)</f>
        <v>0</v>
      </c>
      <c r="K10" s="70" t="e">
        <f>J10/$J$414</f>
        <v>#DIV/0!</v>
      </c>
      <c r="L10" s="49"/>
    </row>
    <row r="11" spans="1:12" s="97" customFormat="1" ht="15.75" outlineLevel="1" x14ac:dyDescent="0.2">
      <c r="A11" s="106" t="s">
        <v>37</v>
      </c>
      <c r="B11" s="107"/>
      <c r="C11" s="108"/>
      <c r="D11" s="109" t="s">
        <v>192</v>
      </c>
      <c r="E11" s="110"/>
      <c r="F11" s="111"/>
      <c r="G11" s="111"/>
      <c r="H11" s="112"/>
      <c r="I11" s="111"/>
      <c r="J11" s="111"/>
      <c r="K11" s="113"/>
      <c r="L11" s="96"/>
    </row>
    <row r="12" spans="1:12" s="78" customFormat="1" ht="25.5" outlineLevel="1" x14ac:dyDescent="0.2">
      <c r="A12" s="40" t="s">
        <v>194</v>
      </c>
      <c r="B12" s="41" t="s">
        <v>105</v>
      </c>
      <c r="C12" s="42" t="s">
        <v>188</v>
      </c>
      <c r="D12" s="43" t="s">
        <v>187</v>
      </c>
      <c r="E12" s="44" t="s">
        <v>26</v>
      </c>
      <c r="F12" s="16">
        <v>2</v>
      </c>
      <c r="G12" s="46"/>
      <c r="H12" s="47" t="s">
        <v>30</v>
      </c>
      <c r="I12" s="45">
        <f>TRUNC(G12*(1+HLOOKUP(H12,$F$6:$I$7,2,FALSE)),2)</f>
        <v>0</v>
      </c>
      <c r="J12" s="45">
        <f>TRUNC(F12*I12,2)</f>
        <v>0</v>
      </c>
      <c r="K12" s="48"/>
      <c r="L12" s="8"/>
    </row>
    <row r="13" spans="1:12" s="78" customFormat="1" ht="51" outlineLevel="1" x14ac:dyDescent="0.2">
      <c r="A13" s="40" t="s">
        <v>195</v>
      </c>
      <c r="B13" s="41" t="s">
        <v>105</v>
      </c>
      <c r="C13" s="42">
        <v>74000374</v>
      </c>
      <c r="D13" s="43" t="s">
        <v>189</v>
      </c>
      <c r="E13" s="44" t="s">
        <v>26</v>
      </c>
      <c r="F13" s="16">
        <v>1</v>
      </c>
      <c r="G13" s="46"/>
      <c r="H13" s="47" t="s">
        <v>30</v>
      </c>
      <c r="I13" s="45">
        <f t="shared" ref="I13:I15" si="0">TRUNC(G13*(1+HLOOKUP(H13,$F$6:$I$7,2,FALSE)),2)</f>
        <v>0</v>
      </c>
      <c r="J13" s="45">
        <f t="shared" ref="J13:J15" si="1">TRUNC(F13*I13,2)</f>
        <v>0</v>
      </c>
      <c r="K13" s="48"/>
      <c r="L13" s="8"/>
    </row>
    <row r="14" spans="1:12" s="78" customFormat="1" ht="51" outlineLevel="1" x14ac:dyDescent="0.2">
      <c r="A14" s="40" t="s">
        <v>196</v>
      </c>
      <c r="B14" s="41" t="s">
        <v>105</v>
      </c>
      <c r="C14" s="42">
        <v>74000377</v>
      </c>
      <c r="D14" s="43" t="s">
        <v>190</v>
      </c>
      <c r="E14" s="44" t="s">
        <v>13</v>
      </c>
      <c r="F14" s="16">
        <v>50</v>
      </c>
      <c r="G14" s="46"/>
      <c r="H14" s="47" t="s">
        <v>30</v>
      </c>
      <c r="I14" s="45">
        <f t="shared" si="0"/>
        <v>0</v>
      </c>
      <c r="J14" s="45">
        <f t="shared" si="1"/>
        <v>0</v>
      </c>
      <c r="K14" s="48"/>
      <c r="L14" s="8"/>
    </row>
    <row r="15" spans="1:12" s="78" customFormat="1" ht="38.25" outlineLevel="1" x14ac:dyDescent="0.2">
      <c r="A15" s="40" t="s">
        <v>196</v>
      </c>
      <c r="B15" s="41" t="s">
        <v>105</v>
      </c>
      <c r="C15" s="42">
        <v>74000379</v>
      </c>
      <c r="D15" s="43" t="s">
        <v>191</v>
      </c>
      <c r="E15" s="44" t="s">
        <v>26</v>
      </c>
      <c r="F15" s="16">
        <v>1</v>
      </c>
      <c r="G15" s="46"/>
      <c r="H15" s="47" t="s">
        <v>30</v>
      </c>
      <c r="I15" s="45">
        <f t="shared" si="0"/>
        <v>0</v>
      </c>
      <c r="J15" s="45">
        <f t="shared" si="1"/>
        <v>0</v>
      </c>
      <c r="K15" s="48"/>
      <c r="L15" s="8"/>
    </row>
    <row r="16" spans="1:12" s="97" customFormat="1" ht="15.75" outlineLevel="1" x14ac:dyDescent="0.2">
      <c r="A16" s="114" t="s">
        <v>175</v>
      </c>
      <c r="B16" s="115"/>
      <c r="C16" s="116"/>
      <c r="D16" s="117" t="s">
        <v>193</v>
      </c>
      <c r="E16" s="118"/>
      <c r="F16" s="119"/>
      <c r="G16" s="119"/>
      <c r="H16" s="120"/>
      <c r="I16" s="119"/>
      <c r="J16" s="119"/>
      <c r="K16" s="121"/>
      <c r="L16" s="96"/>
    </row>
    <row r="17" spans="1:12" s="105" customFormat="1" ht="15.75" outlineLevel="1" x14ac:dyDescent="0.2">
      <c r="A17" s="98"/>
      <c r="B17" s="93"/>
      <c r="C17" s="99"/>
      <c r="D17" s="100" t="s">
        <v>839</v>
      </c>
      <c r="E17" s="101"/>
      <c r="F17" s="102"/>
      <c r="G17" s="94"/>
      <c r="H17" s="95"/>
      <c r="I17" s="94"/>
      <c r="J17" s="94"/>
      <c r="K17" s="103"/>
      <c r="L17" s="104"/>
    </row>
    <row r="18" spans="1:12" s="78" customFormat="1" ht="15.75" outlineLevel="1" x14ac:dyDescent="0.2">
      <c r="A18" s="40" t="s">
        <v>197</v>
      </c>
      <c r="B18" s="41" t="s">
        <v>198</v>
      </c>
      <c r="C18" s="42" t="s">
        <v>199</v>
      </c>
      <c r="D18" s="43" t="s">
        <v>208</v>
      </c>
      <c r="E18" s="44" t="s">
        <v>11</v>
      </c>
      <c r="F18" s="16">
        <v>195.57</v>
      </c>
      <c r="G18" s="46"/>
      <c r="H18" s="47" t="s">
        <v>29</v>
      </c>
      <c r="I18" s="45">
        <f t="shared" ref="I18:I22" si="2">TRUNC(G18*(1+HLOOKUP(H18,$F$6:$I$7,2,FALSE)),2)</f>
        <v>0</v>
      </c>
      <c r="J18" s="45">
        <f t="shared" ref="J18:J22" si="3">TRUNC(F18*I18,2)</f>
        <v>0</v>
      </c>
      <c r="K18" s="48"/>
      <c r="L18" s="8"/>
    </row>
    <row r="19" spans="1:12" s="78" customFormat="1" ht="15.75" outlineLevel="1" x14ac:dyDescent="0.2">
      <c r="A19" s="40"/>
      <c r="B19" s="41"/>
      <c r="C19" s="42"/>
      <c r="D19" s="92" t="s">
        <v>202</v>
      </c>
      <c r="E19" s="44"/>
      <c r="F19" s="16"/>
      <c r="G19" s="46"/>
      <c r="H19" s="47"/>
      <c r="I19" s="45"/>
      <c r="J19" s="45"/>
      <c r="K19" s="48"/>
      <c r="L19" s="8"/>
    </row>
    <row r="20" spans="1:12" s="78" customFormat="1" ht="15.75" outlineLevel="1" x14ac:dyDescent="0.2">
      <c r="A20" s="40" t="s">
        <v>462</v>
      </c>
      <c r="B20" s="41" t="s">
        <v>198</v>
      </c>
      <c r="C20" s="42" t="s">
        <v>199</v>
      </c>
      <c r="D20" s="43" t="s">
        <v>208</v>
      </c>
      <c r="E20" s="44" t="s">
        <v>11</v>
      </c>
      <c r="F20" s="16">
        <v>90.2</v>
      </c>
      <c r="G20" s="46"/>
      <c r="H20" s="47" t="s">
        <v>29</v>
      </c>
      <c r="I20" s="45">
        <f t="shared" ref="I20" si="4">TRUNC(G20*(1+HLOOKUP(H20,$F$6:$I$7,2,FALSE)),2)</f>
        <v>0</v>
      </c>
      <c r="J20" s="45">
        <f>TRUNC(F20*I20,2)</f>
        <v>0</v>
      </c>
      <c r="K20" s="48"/>
      <c r="L20" s="8"/>
    </row>
    <row r="21" spans="1:12" s="78" customFormat="1" ht="15.75" outlineLevel="1" x14ac:dyDescent="0.2">
      <c r="A21" s="40" t="s">
        <v>463</v>
      </c>
      <c r="B21" s="41" t="s">
        <v>198</v>
      </c>
      <c r="C21" s="42" t="s">
        <v>201</v>
      </c>
      <c r="D21" s="43" t="s">
        <v>200</v>
      </c>
      <c r="E21" s="44" t="s">
        <v>11</v>
      </c>
      <c r="F21" s="16">
        <v>90.2</v>
      </c>
      <c r="G21" s="46"/>
      <c r="H21" s="47" t="s">
        <v>29</v>
      </c>
      <c r="I21" s="45">
        <f t="shared" si="2"/>
        <v>0</v>
      </c>
      <c r="J21" s="45">
        <f t="shared" si="3"/>
        <v>0</v>
      </c>
      <c r="K21" s="48"/>
      <c r="L21" s="8"/>
    </row>
    <row r="22" spans="1:12" s="78" customFormat="1" ht="15.75" outlineLevel="1" x14ac:dyDescent="0.2">
      <c r="A22" s="40" t="s">
        <v>464</v>
      </c>
      <c r="B22" s="41" t="s">
        <v>198</v>
      </c>
      <c r="C22" s="42" t="s">
        <v>205</v>
      </c>
      <c r="D22" s="43" t="s">
        <v>204</v>
      </c>
      <c r="E22" s="44" t="s">
        <v>11</v>
      </c>
      <c r="F22" s="16">
        <v>90.2</v>
      </c>
      <c r="G22" s="46"/>
      <c r="H22" s="47" t="s">
        <v>29</v>
      </c>
      <c r="I22" s="45">
        <f t="shared" si="2"/>
        <v>0</v>
      </c>
      <c r="J22" s="45">
        <f t="shared" si="3"/>
        <v>0</v>
      </c>
      <c r="K22" s="48"/>
      <c r="L22" s="8"/>
    </row>
    <row r="23" spans="1:12" s="78" customFormat="1" ht="15.75" outlineLevel="1" x14ac:dyDescent="0.2">
      <c r="A23" s="40" t="s">
        <v>465</v>
      </c>
      <c r="B23" s="41" t="s">
        <v>198</v>
      </c>
      <c r="C23" s="42" t="s">
        <v>207</v>
      </c>
      <c r="D23" s="43" t="s">
        <v>206</v>
      </c>
      <c r="E23" s="44" t="s">
        <v>11</v>
      </c>
      <c r="F23" s="16">
        <v>90.2</v>
      </c>
      <c r="G23" s="46"/>
      <c r="H23" s="47" t="s">
        <v>29</v>
      </c>
      <c r="I23" s="45">
        <f t="shared" ref="I23:I27" si="5">TRUNC(G23*(1+HLOOKUP(H23,$F$6:$I$7,2,FALSE)),2)</f>
        <v>0</v>
      </c>
      <c r="J23" s="45">
        <f t="shared" ref="J23:J27" si="6">TRUNC(F23*I23,2)</f>
        <v>0</v>
      </c>
      <c r="K23" s="48"/>
      <c r="L23" s="8"/>
    </row>
    <row r="24" spans="1:12" s="78" customFormat="1" ht="15.75" outlineLevel="1" x14ac:dyDescent="0.2">
      <c r="A24" s="40"/>
      <c r="B24" s="41"/>
      <c r="C24" s="42"/>
      <c r="D24" s="92" t="s">
        <v>203</v>
      </c>
      <c r="E24" s="44"/>
      <c r="F24" s="16"/>
      <c r="G24" s="46"/>
      <c r="H24" s="47"/>
      <c r="I24" s="45"/>
      <c r="J24" s="45"/>
      <c r="K24" s="48"/>
      <c r="L24" s="8"/>
    </row>
    <row r="25" spans="1:12" s="78" customFormat="1" ht="15.75" outlineLevel="1" x14ac:dyDescent="0.2">
      <c r="A25" s="40" t="s">
        <v>466</v>
      </c>
      <c r="B25" s="41" t="s">
        <v>198</v>
      </c>
      <c r="C25" s="42" t="s">
        <v>199</v>
      </c>
      <c r="D25" s="43" t="s">
        <v>208</v>
      </c>
      <c r="E25" s="44" t="s">
        <v>11</v>
      </c>
      <c r="F25" s="16">
        <v>37.72</v>
      </c>
      <c r="G25" s="46"/>
      <c r="H25" s="47" t="s">
        <v>29</v>
      </c>
      <c r="I25" s="45">
        <f t="shared" si="5"/>
        <v>0</v>
      </c>
      <c r="J25" s="45">
        <f t="shared" si="6"/>
        <v>0</v>
      </c>
      <c r="K25" s="48"/>
      <c r="L25" s="8"/>
    </row>
    <row r="26" spans="1:12" s="78" customFormat="1" ht="15.75" outlineLevel="1" x14ac:dyDescent="0.2">
      <c r="A26" s="40" t="s">
        <v>467</v>
      </c>
      <c r="B26" s="41" t="s">
        <v>198</v>
      </c>
      <c r="C26" s="42" t="s">
        <v>201</v>
      </c>
      <c r="D26" s="43" t="s">
        <v>200</v>
      </c>
      <c r="E26" s="44" t="s">
        <v>11</v>
      </c>
      <c r="F26" s="16">
        <v>37.72</v>
      </c>
      <c r="G26" s="46"/>
      <c r="H26" s="47" t="s">
        <v>29</v>
      </c>
      <c r="I26" s="45">
        <f t="shared" si="5"/>
        <v>0</v>
      </c>
      <c r="J26" s="45">
        <f t="shared" si="6"/>
        <v>0</v>
      </c>
      <c r="K26" s="48"/>
      <c r="L26" s="8"/>
    </row>
    <row r="27" spans="1:12" s="78" customFormat="1" ht="15.75" outlineLevel="1" x14ac:dyDescent="0.2">
      <c r="A27" s="40" t="s">
        <v>468</v>
      </c>
      <c r="B27" s="41" t="s">
        <v>198</v>
      </c>
      <c r="C27" s="42" t="s">
        <v>205</v>
      </c>
      <c r="D27" s="43" t="s">
        <v>204</v>
      </c>
      <c r="E27" s="44" t="s">
        <v>11</v>
      </c>
      <c r="F27" s="16">
        <v>37.72</v>
      </c>
      <c r="G27" s="46"/>
      <c r="H27" s="47" t="s">
        <v>29</v>
      </c>
      <c r="I27" s="45">
        <f t="shared" si="5"/>
        <v>0</v>
      </c>
      <c r="J27" s="45">
        <f t="shared" si="6"/>
        <v>0</v>
      </c>
      <c r="K27" s="48"/>
      <c r="L27" s="8"/>
    </row>
    <row r="28" spans="1:12" s="78" customFormat="1" ht="15.75" outlineLevel="1" x14ac:dyDescent="0.2">
      <c r="A28" s="40" t="s">
        <v>469</v>
      </c>
      <c r="B28" s="41" t="s">
        <v>198</v>
      </c>
      <c r="C28" s="42" t="s">
        <v>207</v>
      </c>
      <c r="D28" s="43" t="s">
        <v>206</v>
      </c>
      <c r="E28" s="44" t="s">
        <v>11</v>
      </c>
      <c r="F28" s="16">
        <v>37.72</v>
      </c>
      <c r="G28" s="46"/>
      <c r="H28" s="47" t="s">
        <v>29</v>
      </c>
      <c r="I28" s="45">
        <f t="shared" ref="I28" si="7">TRUNC(G28*(1+HLOOKUP(H28,$F$6:$I$7,2,FALSE)),2)</f>
        <v>0</v>
      </c>
      <c r="J28" s="45">
        <f t="shared" ref="J28" si="8">TRUNC(F28*I28,2)</f>
        <v>0</v>
      </c>
      <c r="K28" s="48"/>
      <c r="L28" s="8"/>
    </row>
    <row r="29" spans="1:12" s="78" customFormat="1" ht="15.75" outlineLevel="1" x14ac:dyDescent="0.2">
      <c r="A29" s="40"/>
      <c r="B29" s="41"/>
      <c r="C29" s="42"/>
      <c r="D29" s="92" t="s">
        <v>88</v>
      </c>
      <c r="E29" s="44"/>
      <c r="F29" s="16"/>
      <c r="G29" s="46"/>
      <c r="H29" s="47"/>
      <c r="I29" s="45"/>
      <c r="J29" s="45"/>
      <c r="K29" s="48"/>
      <c r="L29" s="8"/>
    </row>
    <row r="30" spans="1:12" s="78" customFormat="1" ht="38.25" outlineLevel="1" x14ac:dyDescent="0.2">
      <c r="A30" s="138" t="s">
        <v>470</v>
      </c>
      <c r="B30" s="41" t="s">
        <v>7</v>
      </c>
      <c r="C30" s="88" t="s">
        <v>399</v>
      </c>
      <c r="D30" s="89" t="str">
        <f>UPPER("Elaboração de projeto de entrada de energia elétrica junto a concessionária, com medição em média tensão e demanda acima de 300 kVA a 2 MVA")</f>
        <v>ELABORAÇÃO DE PROJETO DE ENTRADA DE ENERGIA ELÉTRICA JUNTO A CONCESSIONÁRIA, COM MEDIÇÃO EM MÉDIA TENSÃO E DEMANDA ACIMA DE 300 KVA A 2 MVA</v>
      </c>
      <c r="E30" s="90" t="s">
        <v>26</v>
      </c>
      <c r="F30" s="17">
        <v>1</v>
      </c>
      <c r="G30" s="46"/>
      <c r="H30" s="47" t="s">
        <v>29</v>
      </c>
      <c r="I30" s="46">
        <f t="shared" ref="I30" si="9">TRUNC(G30*(1+HLOOKUP(H30,$F$6:$I$7,2,FALSE)),2)</f>
        <v>0</v>
      </c>
      <c r="J30" s="46">
        <f t="shared" ref="J30" si="10">TRUNC(F30*I30,2)</f>
        <v>0</v>
      </c>
      <c r="K30" s="91"/>
      <c r="L30" s="8"/>
    </row>
    <row r="31" spans="1:12" s="76" customFormat="1" ht="30" customHeight="1" x14ac:dyDescent="0.2">
      <c r="A31" s="63" t="s">
        <v>12</v>
      </c>
      <c r="B31" s="64"/>
      <c r="C31" s="65"/>
      <c r="D31" s="66" t="s">
        <v>919</v>
      </c>
      <c r="E31" s="67"/>
      <c r="F31" s="68"/>
      <c r="G31" s="68"/>
      <c r="H31" s="68"/>
      <c r="I31" s="68" t="s">
        <v>17</v>
      </c>
      <c r="J31" s="69">
        <f>SUM(J32:J36)</f>
        <v>0</v>
      </c>
      <c r="K31" s="70" t="e">
        <f>J31/$J$414</f>
        <v>#DIV/0!</v>
      </c>
      <c r="L31" s="49"/>
    </row>
    <row r="32" spans="1:12" s="78" customFormat="1" ht="15.75" outlineLevel="1" x14ac:dyDescent="0.2">
      <c r="A32" s="40" t="s">
        <v>39</v>
      </c>
      <c r="B32" s="41" t="s">
        <v>7</v>
      </c>
      <c r="C32" s="42" t="s">
        <v>55</v>
      </c>
      <c r="D32" s="43" t="s">
        <v>56</v>
      </c>
      <c r="E32" s="44" t="s">
        <v>11</v>
      </c>
      <c r="F32" s="16">
        <v>2.5</v>
      </c>
      <c r="G32" s="46"/>
      <c r="H32" s="47" t="s">
        <v>29</v>
      </c>
      <c r="I32" s="45">
        <f>TRUNC(G32*(1+HLOOKUP(H32,$F$6:$I$7,2,FALSE)),2)</f>
        <v>0</v>
      </c>
      <c r="J32" s="45">
        <f>TRUNC(F32*I32,2)</f>
        <v>0</v>
      </c>
      <c r="K32" s="48"/>
      <c r="L32" s="8"/>
    </row>
    <row r="33" spans="1:12" s="78" customFormat="1" ht="38.25" outlineLevel="1" x14ac:dyDescent="0.2">
      <c r="A33" s="18" t="s">
        <v>57</v>
      </c>
      <c r="B33" s="41" t="s">
        <v>5</v>
      </c>
      <c r="C33" s="42">
        <v>10775</v>
      </c>
      <c r="D33" s="43" t="s">
        <v>90</v>
      </c>
      <c r="E33" s="44" t="s">
        <v>91</v>
      </c>
      <c r="F33" s="45">
        <v>12</v>
      </c>
      <c r="G33" s="17"/>
      <c r="H33" s="47" t="s">
        <v>29</v>
      </c>
      <c r="I33" s="45">
        <f t="shared" ref="I33:I34" si="11">TRUNC(G33*(1+HLOOKUP(H33,$F$6:$I$7,2,FALSE)),2)</f>
        <v>0</v>
      </c>
      <c r="J33" s="45">
        <f>TRUNC(F33*I33,2)</f>
        <v>0</v>
      </c>
      <c r="K33" s="20"/>
      <c r="L33" s="8"/>
    </row>
    <row r="34" spans="1:12" s="78" customFormat="1" ht="38.25" outlineLevel="1" x14ac:dyDescent="0.2">
      <c r="A34" s="18" t="s">
        <v>85</v>
      </c>
      <c r="B34" s="12" t="s">
        <v>5</v>
      </c>
      <c r="C34" s="13">
        <v>98525</v>
      </c>
      <c r="D34" s="43" t="s">
        <v>54</v>
      </c>
      <c r="E34" s="15" t="s">
        <v>11</v>
      </c>
      <c r="F34" s="16">
        <v>1680.91</v>
      </c>
      <c r="G34" s="17"/>
      <c r="H34" s="33" t="s">
        <v>29</v>
      </c>
      <c r="I34" s="16">
        <f t="shared" si="11"/>
        <v>0</v>
      </c>
      <c r="J34" s="16">
        <f t="shared" ref="J34" si="12">TRUNC(F34*I34,2)</f>
        <v>0</v>
      </c>
      <c r="K34" s="20"/>
      <c r="L34" s="8"/>
    </row>
    <row r="35" spans="1:12" s="78" customFormat="1" ht="51" outlineLevel="1" x14ac:dyDescent="0.2">
      <c r="A35" s="18" t="s">
        <v>471</v>
      </c>
      <c r="B35" s="41" t="s">
        <v>5</v>
      </c>
      <c r="C35" s="42">
        <v>100983</v>
      </c>
      <c r="D35" s="43" t="s">
        <v>495</v>
      </c>
      <c r="E35" s="44" t="s">
        <v>14</v>
      </c>
      <c r="F35" s="16">
        <v>336.18</v>
      </c>
      <c r="G35" s="17"/>
      <c r="H35" s="33" t="s">
        <v>29</v>
      </c>
      <c r="I35" s="16">
        <f t="shared" ref="I35:I36" si="13">TRUNC(G35*(1+HLOOKUP(H35,$F$6:$I$7,2,FALSE)),2)</f>
        <v>0</v>
      </c>
      <c r="J35" s="16">
        <f t="shared" ref="J35:J36" si="14">TRUNC(F35*I35,2)</f>
        <v>0</v>
      </c>
      <c r="K35" s="20"/>
      <c r="L35" s="8"/>
    </row>
    <row r="36" spans="1:12" s="78" customFormat="1" ht="38.25" outlineLevel="1" x14ac:dyDescent="0.2">
      <c r="A36" s="18" t="s">
        <v>472</v>
      </c>
      <c r="B36" s="41" t="s">
        <v>5</v>
      </c>
      <c r="C36" s="42">
        <v>93592</v>
      </c>
      <c r="D36" s="43" t="s">
        <v>496</v>
      </c>
      <c r="E36" s="44" t="s">
        <v>79</v>
      </c>
      <c r="F36" s="16">
        <v>1680.91</v>
      </c>
      <c r="G36" s="17"/>
      <c r="H36" s="33" t="s">
        <v>29</v>
      </c>
      <c r="I36" s="16">
        <f t="shared" si="13"/>
        <v>0</v>
      </c>
      <c r="J36" s="16">
        <f t="shared" si="14"/>
        <v>0</v>
      </c>
      <c r="K36" s="20"/>
      <c r="L36" s="8"/>
    </row>
    <row r="37" spans="1:12" s="81" customFormat="1" ht="30" customHeight="1" x14ac:dyDescent="0.2">
      <c r="A37" s="63" t="s">
        <v>74</v>
      </c>
      <c r="B37" s="64"/>
      <c r="C37" s="65"/>
      <c r="D37" s="66" t="s">
        <v>52</v>
      </c>
      <c r="E37" s="67"/>
      <c r="F37" s="68"/>
      <c r="G37" s="68"/>
      <c r="H37" s="68"/>
      <c r="I37" s="68" t="s">
        <v>17</v>
      </c>
      <c r="J37" s="69">
        <f>SUM(J38:J90)</f>
        <v>0</v>
      </c>
      <c r="K37" s="70" t="e">
        <f>J37/$J$414</f>
        <v>#DIV/0!</v>
      </c>
      <c r="L37" s="50"/>
    </row>
    <row r="38" spans="1:12" s="81" customFormat="1" ht="15.75" outlineLevel="1" x14ac:dyDescent="0.2">
      <c r="A38" s="114" t="s">
        <v>176</v>
      </c>
      <c r="B38" s="115"/>
      <c r="C38" s="116"/>
      <c r="D38" s="117" t="s">
        <v>53</v>
      </c>
      <c r="E38" s="118"/>
      <c r="F38" s="119"/>
      <c r="G38" s="119"/>
      <c r="H38" s="120"/>
      <c r="I38" s="119"/>
      <c r="J38" s="119"/>
      <c r="K38" s="121"/>
      <c r="L38" s="50"/>
    </row>
    <row r="39" spans="1:12" s="78" customFormat="1" ht="15.75" outlineLevel="1" x14ac:dyDescent="0.2">
      <c r="A39" s="40" t="s">
        <v>212</v>
      </c>
      <c r="B39" s="12" t="s">
        <v>7</v>
      </c>
      <c r="C39" s="82" t="s">
        <v>58</v>
      </c>
      <c r="D39" s="83" t="s">
        <v>59</v>
      </c>
      <c r="E39" s="84" t="s">
        <v>13</v>
      </c>
      <c r="F39" s="85">
        <v>153.34</v>
      </c>
      <c r="G39" s="17"/>
      <c r="H39" s="33" t="s">
        <v>29</v>
      </c>
      <c r="I39" s="16">
        <f t="shared" ref="I39:I56" si="15">TRUNC(G39*(1+HLOOKUP(H39,$F$6:$I$7,2,FALSE)),2)</f>
        <v>0</v>
      </c>
      <c r="J39" s="17">
        <f t="shared" ref="J39:J52" si="16">TRUNC(F39*I39,2)</f>
        <v>0</v>
      </c>
      <c r="K39" s="55"/>
      <c r="L39" s="86"/>
    </row>
    <row r="40" spans="1:12" s="78" customFormat="1" ht="38.25" outlineLevel="1" x14ac:dyDescent="0.2">
      <c r="A40" s="40" t="s">
        <v>213</v>
      </c>
      <c r="B40" s="12" t="s">
        <v>5</v>
      </c>
      <c r="C40" s="82">
        <v>96527</v>
      </c>
      <c r="D40" s="83" t="s">
        <v>60</v>
      </c>
      <c r="E40" s="84" t="s">
        <v>14</v>
      </c>
      <c r="F40" s="85">
        <v>21.467600000000001</v>
      </c>
      <c r="G40" s="17"/>
      <c r="H40" s="33" t="s">
        <v>29</v>
      </c>
      <c r="I40" s="16">
        <f t="shared" si="15"/>
        <v>0</v>
      </c>
      <c r="J40" s="17">
        <f t="shared" si="16"/>
        <v>0</v>
      </c>
      <c r="K40" s="55"/>
      <c r="L40" s="86"/>
    </row>
    <row r="41" spans="1:12" s="78" customFormat="1" ht="38.25" outlineLevel="1" x14ac:dyDescent="0.2">
      <c r="A41" s="40" t="s">
        <v>214</v>
      </c>
      <c r="B41" s="12" t="s">
        <v>5</v>
      </c>
      <c r="C41" s="82">
        <v>101173</v>
      </c>
      <c r="D41" s="83" t="s">
        <v>61</v>
      </c>
      <c r="E41" s="84" t="s">
        <v>13</v>
      </c>
      <c r="F41" s="85">
        <v>124</v>
      </c>
      <c r="G41" s="17"/>
      <c r="H41" s="33" t="s">
        <v>29</v>
      </c>
      <c r="I41" s="16">
        <f t="shared" si="15"/>
        <v>0</v>
      </c>
      <c r="J41" s="17">
        <f t="shared" si="16"/>
        <v>0</v>
      </c>
      <c r="K41" s="55"/>
      <c r="L41" s="86"/>
    </row>
    <row r="42" spans="1:12" s="78" customFormat="1" ht="15.75" outlineLevel="1" x14ac:dyDescent="0.2">
      <c r="A42" s="40" t="s">
        <v>215</v>
      </c>
      <c r="B42" s="12" t="s">
        <v>7</v>
      </c>
      <c r="C42" s="82" t="s">
        <v>842</v>
      </c>
      <c r="D42" s="83" t="s">
        <v>843</v>
      </c>
      <c r="E42" s="84" t="s">
        <v>14</v>
      </c>
      <c r="F42" s="85">
        <v>1.9167500000000002</v>
      </c>
      <c r="G42" s="17"/>
      <c r="H42" s="33" t="s">
        <v>29</v>
      </c>
      <c r="I42" s="16">
        <f t="shared" si="15"/>
        <v>0</v>
      </c>
      <c r="J42" s="17">
        <f t="shared" si="16"/>
        <v>0</v>
      </c>
      <c r="K42" s="55"/>
      <c r="L42" s="86"/>
    </row>
    <row r="43" spans="1:12" s="78" customFormat="1" ht="25.5" outlineLevel="1" x14ac:dyDescent="0.2">
      <c r="A43" s="40" t="s">
        <v>216</v>
      </c>
      <c r="B43" s="12" t="s">
        <v>7</v>
      </c>
      <c r="C43" s="82" t="s">
        <v>47</v>
      </c>
      <c r="D43" s="83" t="s">
        <v>62</v>
      </c>
      <c r="E43" s="84" t="s">
        <v>48</v>
      </c>
      <c r="F43" s="85">
        <v>760.9831200000001</v>
      </c>
      <c r="G43" s="17"/>
      <c r="H43" s="33" t="s">
        <v>29</v>
      </c>
      <c r="I43" s="16">
        <f t="shared" si="15"/>
        <v>0</v>
      </c>
      <c r="J43" s="17">
        <f t="shared" si="16"/>
        <v>0</v>
      </c>
      <c r="K43" s="55"/>
      <c r="L43" s="86"/>
    </row>
    <row r="44" spans="1:12" s="78" customFormat="1" ht="25.5" outlineLevel="1" x14ac:dyDescent="0.2">
      <c r="A44" s="40" t="s">
        <v>217</v>
      </c>
      <c r="B44" s="12" t="s">
        <v>7</v>
      </c>
      <c r="C44" s="82" t="s">
        <v>63</v>
      </c>
      <c r="D44" s="83" t="s">
        <v>64</v>
      </c>
      <c r="E44" s="84" t="s">
        <v>48</v>
      </c>
      <c r="F44" s="85">
        <v>258.27339999999998</v>
      </c>
      <c r="G44" s="17"/>
      <c r="H44" s="33" t="s">
        <v>29</v>
      </c>
      <c r="I44" s="16">
        <f t="shared" si="15"/>
        <v>0</v>
      </c>
      <c r="J44" s="17">
        <f t="shared" si="16"/>
        <v>0</v>
      </c>
      <c r="K44" s="55"/>
      <c r="L44" s="86"/>
    </row>
    <row r="45" spans="1:12" s="78" customFormat="1" ht="15.75" outlineLevel="1" x14ac:dyDescent="0.2">
      <c r="A45" s="40" t="s">
        <v>218</v>
      </c>
      <c r="B45" s="12" t="s">
        <v>7</v>
      </c>
      <c r="C45" s="82" t="s">
        <v>841</v>
      </c>
      <c r="D45" s="83" t="s">
        <v>840</v>
      </c>
      <c r="E45" s="84" t="s">
        <v>14</v>
      </c>
      <c r="F45" s="85">
        <v>17.096</v>
      </c>
      <c r="G45" s="17"/>
      <c r="H45" s="33" t="s">
        <v>29</v>
      </c>
      <c r="I45" s="16">
        <f t="shared" si="15"/>
        <v>0</v>
      </c>
      <c r="J45" s="17">
        <f t="shared" si="16"/>
        <v>0</v>
      </c>
      <c r="K45" s="55"/>
      <c r="L45" s="86"/>
    </row>
    <row r="46" spans="1:12" s="78" customFormat="1" ht="25.5" outlineLevel="1" x14ac:dyDescent="0.2">
      <c r="A46" s="40" t="s">
        <v>219</v>
      </c>
      <c r="B46" s="12" t="s">
        <v>5</v>
      </c>
      <c r="C46" s="82">
        <v>103673</v>
      </c>
      <c r="D46" s="83" t="s">
        <v>66</v>
      </c>
      <c r="E46" s="84" t="s">
        <v>14</v>
      </c>
      <c r="F46" s="85">
        <v>17.096</v>
      </c>
      <c r="G46" s="17"/>
      <c r="H46" s="33" t="s">
        <v>29</v>
      </c>
      <c r="I46" s="16">
        <f t="shared" si="15"/>
        <v>0</v>
      </c>
      <c r="J46" s="17">
        <f t="shared" si="16"/>
        <v>0</v>
      </c>
      <c r="K46" s="55"/>
      <c r="L46" s="86"/>
    </row>
    <row r="47" spans="1:12" s="78" customFormat="1" ht="51" outlineLevel="1" x14ac:dyDescent="0.2">
      <c r="A47" s="40" t="s">
        <v>220</v>
      </c>
      <c r="B47" s="12" t="s">
        <v>5</v>
      </c>
      <c r="C47" s="82">
        <v>103340</v>
      </c>
      <c r="D47" s="83" t="s">
        <v>501</v>
      </c>
      <c r="E47" s="84" t="s">
        <v>11</v>
      </c>
      <c r="F47" s="85">
        <v>322.01400000000001</v>
      </c>
      <c r="G47" s="17"/>
      <c r="H47" s="33" t="s">
        <v>29</v>
      </c>
      <c r="I47" s="16">
        <f t="shared" si="15"/>
        <v>0</v>
      </c>
      <c r="J47" s="17">
        <f t="shared" si="16"/>
        <v>0</v>
      </c>
      <c r="K47" s="55"/>
      <c r="L47" s="86"/>
    </row>
    <row r="48" spans="1:12" s="78" customFormat="1" ht="38.25" outlineLevel="1" x14ac:dyDescent="0.2">
      <c r="A48" s="40" t="s">
        <v>221</v>
      </c>
      <c r="B48" s="12" t="s">
        <v>5</v>
      </c>
      <c r="C48" s="82">
        <v>93205</v>
      </c>
      <c r="D48" s="83" t="s">
        <v>500</v>
      </c>
      <c r="E48" s="84" t="s">
        <v>13</v>
      </c>
      <c r="F48" s="85">
        <v>306.68</v>
      </c>
      <c r="G48" s="17"/>
      <c r="H48" s="33" t="s">
        <v>29</v>
      </c>
      <c r="I48" s="16">
        <f t="shared" si="15"/>
        <v>0</v>
      </c>
      <c r="J48" s="17">
        <f t="shared" si="16"/>
        <v>0</v>
      </c>
      <c r="K48" s="55"/>
      <c r="L48" s="86"/>
    </row>
    <row r="49" spans="1:12" s="78" customFormat="1" ht="25.5" outlineLevel="1" x14ac:dyDescent="0.2">
      <c r="A49" s="40" t="s">
        <v>222</v>
      </c>
      <c r="B49" s="12" t="s">
        <v>5</v>
      </c>
      <c r="C49" s="82">
        <v>101979</v>
      </c>
      <c r="D49" s="83" t="s">
        <v>69</v>
      </c>
      <c r="E49" s="84" t="s">
        <v>13</v>
      </c>
      <c r="F49" s="85">
        <v>153.34</v>
      </c>
      <c r="G49" s="17"/>
      <c r="H49" s="33" t="s">
        <v>29</v>
      </c>
      <c r="I49" s="16">
        <f t="shared" si="15"/>
        <v>0</v>
      </c>
      <c r="J49" s="17">
        <f t="shared" si="16"/>
        <v>0</v>
      </c>
      <c r="K49" s="55"/>
      <c r="L49" s="86"/>
    </row>
    <row r="50" spans="1:12" s="78" customFormat="1" ht="25.5" outlineLevel="1" x14ac:dyDescent="0.2">
      <c r="A50" s="40" t="s">
        <v>223</v>
      </c>
      <c r="B50" s="12" t="s">
        <v>5</v>
      </c>
      <c r="C50" s="82">
        <v>34347</v>
      </c>
      <c r="D50" s="83" t="s">
        <v>70</v>
      </c>
      <c r="E50" s="84" t="s">
        <v>13</v>
      </c>
      <c r="F50" s="85">
        <v>153.34</v>
      </c>
      <c r="G50" s="17"/>
      <c r="H50" s="33" t="s">
        <v>29</v>
      </c>
      <c r="I50" s="16">
        <f t="shared" si="15"/>
        <v>0</v>
      </c>
      <c r="J50" s="17">
        <f t="shared" si="16"/>
        <v>0</v>
      </c>
      <c r="K50" s="55"/>
      <c r="L50" s="86"/>
    </row>
    <row r="51" spans="1:12" s="78" customFormat="1" ht="25.5" outlineLevel="1" x14ac:dyDescent="0.2">
      <c r="A51" s="40" t="s">
        <v>224</v>
      </c>
      <c r="B51" s="12" t="s">
        <v>5</v>
      </c>
      <c r="C51" s="82">
        <v>88485</v>
      </c>
      <c r="D51" s="83" t="s">
        <v>71</v>
      </c>
      <c r="E51" s="84" t="s">
        <v>11</v>
      </c>
      <c r="F51" s="85">
        <v>766.7</v>
      </c>
      <c r="G51" s="17"/>
      <c r="H51" s="33" t="s">
        <v>29</v>
      </c>
      <c r="I51" s="16">
        <f t="shared" si="15"/>
        <v>0</v>
      </c>
      <c r="J51" s="17">
        <f t="shared" si="16"/>
        <v>0</v>
      </c>
      <c r="K51" s="55"/>
      <c r="L51" s="86"/>
    </row>
    <row r="52" spans="1:12" s="78" customFormat="1" ht="25.5" outlineLevel="1" x14ac:dyDescent="0.2">
      <c r="A52" s="40" t="s">
        <v>225</v>
      </c>
      <c r="B52" s="12" t="s">
        <v>5</v>
      </c>
      <c r="C52" s="82">
        <v>95305</v>
      </c>
      <c r="D52" s="83" t="s">
        <v>210</v>
      </c>
      <c r="E52" s="84" t="s">
        <v>11</v>
      </c>
      <c r="F52" s="85">
        <v>766.7</v>
      </c>
      <c r="G52" s="17"/>
      <c r="H52" s="33" t="s">
        <v>29</v>
      </c>
      <c r="I52" s="16">
        <f t="shared" si="15"/>
        <v>0</v>
      </c>
      <c r="J52" s="17">
        <f t="shared" si="16"/>
        <v>0</v>
      </c>
      <c r="K52" s="55"/>
      <c r="L52" s="86"/>
    </row>
    <row r="53" spans="1:12" s="78" customFormat="1" ht="15.75" outlineLevel="1" x14ac:dyDescent="0.2">
      <c r="A53" s="114" t="s">
        <v>177</v>
      </c>
      <c r="B53" s="115"/>
      <c r="C53" s="116"/>
      <c r="D53" s="117" t="s">
        <v>209</v>
      </c>
      <c r="E53" s="118"/>
      <c r="F53" s="119"/>
      <c r="G53" s="119"/>
      <c r="H53" s="120"/>
      <c r="I53" s="119"/>
      <c r="J53" s="119"/>
      <c r="K53" s="121"/>
      <c r="L53" s="86"/>
    </row>
    <row r="54" spans="1:12" s="78" customFormat="1" ht="25.5" outlineLevel="1" x14ac:dyDescent="0.2">
      <c r="A54" s="40" t="s">
        <v>226</v>
      </c>
      <c r="B54" s="12" t="s">
        <v>7</v>
      </c>
      <c r="C54" s="82" t="s">
        <v>72</v>
      </c>
      <c r="D54" s="83" t="s">
        <v>228</v>
      </c>
      <c r="E54" s="84" t="s">
        <v>11</v>
      </c>
      <c r="F54" s="17">
        <v>30</v>
      </c>
      <c r="G54" s="17"/>
      <c r="H54" s="33" t="s">
        <v>29</v>
      </c>
      <c r="I54" s="16">
        <f t="shared" si="15"/>
        <v>0</v>
      </c>
      <c r="J54" s="17">
        <f t="shared" ref="J54:J56" si="17">TRUNC(F54*I54,2)</f>
        <v>0</v>
      </c>
      <c r="K54" s="55"/>
      <c r="L54" s="86"/>
    </row>
    <row r="55" spans="1:12" s="78" customFormat="1" ht="25.5" outlineLevel="1" x14ac:dyDescent="0.2">
      <c r="A55" s="40" t="s">
        <v>227</v>
      </c>
      <c r="B55" s="12" t="s">
        <v>5</v>
      </c>
      <c r="C55" s="82">
        <v>100704</v>
      </c>
      <c r="D55" s="83" t="s">
        <v>73</v>
      </c>
      <c r="E55" s="84" t="s">
        <v>26</v>
      </c>
      <c r="F55" s="17">
        <v>2</v>
      </c>
      <c r="G55" s="17"/>
      <c r="H55" s="33" t="s">
        <v>29</v>
      </c>
      <c r="I55" s="16">
        <f t="shared" si="15"/>
        <v>0</v>
      </c>
      <c r="J55" s="17">
        <f t="shared" si="17"/>
        <v>0</v>
      </c>
      <c r="K55" s="55"/>
      <c r="L55" s="86"/>
    </row>
    <row r="56" spans="1:12" s="78" customFormat="1" ht="38.25" outlineLevel="1" x14ac:dyDescent="0.2">
      <c r="A56" s="40" t="s">
        <v>844</v>
      </c>
      <c r="B56" s="12" t="s">
        <v>5</v>
      </c>
      <c r="C56" s="82">
        <v>100721</v>
      </c>
      <c r="D56" s="83" t="s">
        <v>846</v>
      </c>
      <c r="E56" s="84" t="s">
        <v>11</v>
      </c>
      <c r="F56" s="17">
        <v>30</v>
      </c>
      <c r="G56" s="17"/>
      <c r="H56" s="33" t="s">
        <v>29</v>
      </c>
      <c r="I56" s="16">
        <f t="shared" si="15"/>
        <v>0</v>
      </c>
      <c r="J56" s="17">
        <f t="shared" si="17"/>
        <v>0</v>
      </c>
      <c r="K56" s="55"/>
      <c r="L56" s="86"/>
    </row>
    <row r="57" spans="1:12" s="78" customFormat="1" ht="51" outlineLevel="1" x14ac:dyDescent="0.2">
      <c r="A57" s="40" t="s">
        <v>845</v>
      </c>
      <c r="B57" s="12" t="s">
        <v>5</v>
      </c>
      <c r="C57" s="82">
        <v>100761</v>
      </c>
      <c r="D57" s="83" t="s">
        <v>847</v>
      </c>
      <c r="E57" s="84" t="s">
        <v>11</v>
      </c>
      <c r="F57" s="17">
        <v>30</v>
      </c>
      <c r="G57" s="17"/>
      <c r="H57" s="33" t="s">
        <v>29</v>
      </c>
      <c r="I57" s="16">
        <f t="shared" ref="I57:I84" si="18">TRUNC(G57*(1+HLOOKUP(H57,$F$6:$I$7,2,FALSE)),2)</f>
        <v>0</v>
      </c>
      <c r="J57" s="17">
        <f t="shared" ref="J57" si="19">TRUNC(F57*I57,2)</f>
        <v>0</v>
      </c>
      <c r="K57" s="55"/>
      <c r="L57" s="86"/>
    </row>
    <row r="58" spans="1:12" s="78" customFormat="1" ht="15.75" outlineLevel="1" x14ac:dyDescent="0.2">
      <c r="A58" s="114" t="s">
        <v>178</v>
      </c>
      <c r="B58" s="115"/>
      <c r="C58" s="116"/>
      <c r="D58" s="125" t="s">
        <v>536</v>
      </c>
      <c r="E58" s="118"/>
      <c r="F58" s="119"/>
      <c r="G58" s="119"/>
      <c r="H58" s="120"/>
      <c r="I58" s="119"/>
      <c r="J58" s="119"/>
      <c r="K58" s="121"/>
      <c r="L58" s="86"/>
    </row>
    <row r="59" spans="1:12" s="78" customFormat="1" ht="15.75" outlineLevel="1" x14ac:dyDescent="0.2">
      <c r="A59" s="40" t="s">
        <v>229</v>
      </c>
      <c r="B59" s="12" t="s">
        <v>7</v>
      </c>
      <c r="C59" s="82" t="s">
        <v>503</v>
      </c>
      <c r="D59" s="83" t="str">
        <f>UPPER("Poste de concreto circular, 200 kg, H = 7,00 m")</f>
        <v>POSTE DE CONCRETO CIRCULAR, 200 KG, H = 7,00 M</v>
      </c>
      <c r="E59" s="84" t="s">
        <v>26</v>
      </c>
      <c r="F59" s="17">
        <v>2</v>
      </c>
      <c r="G59" s="17"/>
      <c r="H59" s="33" t="s">
        <v>29</v>
      </c>
      <c r="I59" s="16">
        <f t="shared" ref="I59:I64" si="20">TRUNC(G59*(1+HLOOKUP(H59,$F$6:$I$7,2,FALSE)),2)</f>
        <v>0</v>
      </c>
      <c r="J59" s="17">
        <f t="shared" ref="J59:J64" si="21">TRUNC(F59*I59,2)</f>
        <v>0</v>
      </c>
      <c r="K59" s="55"/>
      <c r="L59" s="86"/>
    </row>
    <row r="60" spans="1:12" s="78" customFormat="1" ht="51" outlineLevel="1" x14ac:dyDescent="0.2">
      <c r="A60" s="40" t="s">
        <v>230</v>
      </c>
      <c r="B60" s="12" t="s">
        <v>5</v>
      </c>
      <c r="C60" s="82">
        <v>97601</v>
      </c>
      <c r="D60" s="83" t="s">
        <v>506</v>
      </c>
      <c r="E60" s="84" t="s">
        <v>26</v>
      </c>
      <c r="F60" s="17">
        <v>6</v>
      </c>
      <c r="G60" s="17"/>
      <c r="H60" s="33" t="s">
        <v>29</v>
      </c>
      <c r="I60" s="16">
        <f t="shared" si="20"/>
        <v>0</v>
      </c>
      <c r="J60" s="17">
        <f t="shared" si="21"/>
        <v>0</v>
      </c>
      <c r="K60" s="55"/>
      <c r="L60" s="86"/>
    </row>
    <row r="61" spans="1:12" s="78" customFormat="1" ht="38.25" outlineLevel="1" x14ac:dyDescent="0.2">
      <c r="A61" s="40" t="s">
        <v>231</v>
      </c>
      <c r="B61" s="12" t="s">
        <v>5</v>
      </c>
      <c r="C61" s="82">
        <v>97894</v>
      </c>
      <c r="D61" s="83" t="s">
        <v>509</v>
      </c>
      <c r="E61" s="84" t="s">
        <v>26</v>
      </c>
      <c r="F61" s="17">
        <v>1</v>
      </c>
      <c r="G61" s="17"/>
      <c r="H61" s="33" t="s">
        <v>29</v>
      </c>
      <c r="I61" s="16">
        <f t="shared" si="20"/>
        <v>0</v>
      </c>
      <c r="J61" s="17">
        <f t="shared" si="21"/>
        <v>0</v>
      </c>
      <c r="K61" s="55"/>
      <c r="L61" s="86"/>
    </row>
    <row r="62" spans="1:12" s="78" customFormat="1" ht="38.25" outlineLevel="1" x14ac:dyDescent="0.2">
      <c r="A62" s="40" t="s">
        <v>232</v>
      </c>
      <c r="B62" s="12" t="s">
        <v>5</v>
      </c>
      <c r="C62" s="82">
        <v>97893</v>
      </c>
      <c r="D62" s="83" t="s">
        <v>508</v>
      </c>
      <c r="E62" s="84" t="s">
        <v>26</v>
      </c>
      <c r="F62" s="17">
        <v>2</v>
      </c>
      <c r="G62" s="17"/>
      <c r="H62" s="33" t="s">
        <v>29</v>
      </c>
      <c r="I62" s="16">
        <f t="shared" si="20"/>
        <v>0</v>
      </c>
      <c r="J62" s="17">
        <f t="shared" si="21"/>
        <v>0</v>
      </c>
      <c r="K62" s="55"/>
      <c r="L62" s="86"/>
    </row>
    <row r="63" spans="1:12" s="78" customFormat="1" ht="38.25" outlineLevel="1" x14ac:dyDescent="0.2">
      <c r="A63" s="40" t="s">
        <v>233</v>
      </c>
      <c r="B63" s="12" t="s">
        <v>5</v>
      </c>
      <c r="C63" s="82">
        <v>97891</v>
      </c>
      <c r="D63" s="83" t="s">
        <v>505</v>
      </c>
      <c r="E63" s="84" t="s">
        <v>26</v>
      </c>
      <c r="F63" s="17">
        <v>3</v>
      </c>
      <c r="G63" s="17"/>
      <c r="H63" s="33" t="s">
        <v>29</v>
      </c>
      <c r="I63" s="16">
        <f t="shared" si="20"/>
        <v>0</v>
      </c>
      <c r="J63" s="17">
        <f t="shared" si="21"/>
        <v>0</v>
      </c>
      <c r="K63" s="55"/>
      <c r="L63" s="86"/>
    </row>
    <row r="64" spans="1:12" s="78" customFormat="1" ht="38.25" outlineLevel="1" x14ac:dyDescent="0.2">
      <c r="A64" s="40" t="s">
        <v>234</v>
      </c>
      <c r="B64" s="12" t="s">
        <v>5</v>
      </c>
      <c r="C64" s="82">
        <v>97670</v>
      </c>
      <c r="D64" s="83" t="s">
        <v>510</v>
      </c>
      <c r="E64" s="84" t="s">
        <v>13</v>
      </c>
      <c r="F64" s="17">
        <v>76.8</v>
      </c>
      <c r="G64" s="17"/>
      <c r="H64" s="33" t="s">
        <v>29</v>
      </c>
      <c r="I64" s="16">
        <f t="shared" si="20"/>
        <v>0</v>
      </c>
      <c r="J64" s="17">
        <f t="shared" si="21"/>
        <v>0</v>
      </c>
      <c r="K64" s="55"/>
      <c r="L64" s="86"/>
    </row>
    <row r="65" spans="1:12" s="78" customFormat="1" ht="38.25" outlineLevel="1" x14ac:dyDescent="0.2">
      <c r="A65" s="40" t="s">
        <v>235</v>
      </c>
      <c r="B65" s="12" t="s">
        <v>5</v>
      </c>
      <c r="C65" s="82">
        <v>97667</v>
      </c>
      <c r="D65" s="83" t="s">
        <v>504</v>
      </c>
      <c r="E65" s="84" t="s">
        <v>13</v>
      </c>
      <c r="F65" s="17">
        <v>97.7</v>
      </c>
      <c r="G65" s="17"/>
      <c r="H65" s="33" t="s">
        <v>29</v>
      </c>
      <c r="I65" s="16">
        <f t="shared" ref="I65:I66" si="22">TRUNC(G65*(1+HLOOKUP(H65,$F$6:$I$7,2,FALSE)),2)</f>
        <v>0</v>
      </c>
      <c r="J65" s="17">
        <f t="shared" ref="J65:J66" si="23">TRUNC(F65*I65,2)</f>
        <v>0</v>
      </c>
      <c r="K65" s="55"/>
      <c r="L65" s="86"/>
    </row>
    <row r="66" spans="1:12" s="78" customFormat="1" ht="38.25" outlineLevel="1" x14ac:dyDescent="0.2">
      <c r="A66" s="40" t="s">
        <v>236</v>
      </c>
      <c r="B66" s="12" t="s">
        <v>5</v>
      </c>
      <c r="C66" s="82">
        <v>91927</v>
      </c>
      <c r="D66" s="83" t="s">
        <v>502</v>
      </c>
      <c r="E66" s="84" t="s">
        <v>13</v>
      </c>
      <c r="F66" s="17">
        <v>147</v>
      </c>
      <c r="G66" s="17"/>
      <c r="H66" s="33" t="s">
        <v>29</v>
      </c>
      <c r="I66" s="16">
        <f t="shared" si="22"/>
        <v>0</v>
      </c>
      <c r="J66" s="17">
        <f t="shared" si="23"/>
        <v>0</v>
      </c>
      <c r="K66" s="55"/>
      <c r="L66" s="86"/>
    </row>
    <row r="67" spans="1:12" s="78" customFormat="1" ht="15.75" outlineLevel="1" x14ac:dyDescent="0.2">
      <c r="A67" s="114" t="s">
        <v>179</v>
      </c>
      <c r="B67" s="115"/>
      <c r="C67" s="116"/>
      <c r="D67" s="125" t="s">
        <v>537</v>
      </c>
      <c r="E67" s="118"/>
      <c r="F67" s="119"/>
      <c r="G67" s="119"/>
      <c r="H67" s="120"/>
      <c r="I67" s="119"/>
      <c r="J67" s="119"/>
      <c r="K67" s="121"/>
      <c r="L67" s="86"/>
    </row>
    <row r="68" spans="1:12" s="78" customFormat="1" ht="38.25" outlineLevel="1" x14ac:dyDescent="0.2">
      <c r="A68" s="40" t="s">
        <v>237</v>
      </c>
      <c r="B68" s="12" t="s">
        <v>5</v>
      </c>
      <c r="C68" s="82">
        <v>97891</v>
      </c>
      <c r="D68" s="83" t="s">
        <v>505</v>
      </c>
      <c r="E68" s="84" t="s">
        <v>26</v>
      </c>
      <c r="F68" s="17">
        <v>9</v>
      </c>
      <c r="G68" s="17"/>
      <c r="H68" s="33" t="s">
        <v>29</v>
      </c>
      <c r="I68" s="16">
        <f t="shared" ref="I68:I69" si="24">TRUNC(G68*(1+HLOOKUP(H68,$F$6:$I$7,2,FALSE)),2)</f>
        <v>0</v>
      </c>
      <c r="J68" s="17">
        <f t="shared" ref="J68:J69" si="25">TRUNC(F68*I68,2)</f>
        <v>0</v>
      </c>
      <c r="K68" s="91"/>
      <c r="L68" s="86"/>
    </row>
    <row r="69" spans="1:12" s="78" customFormat="1" ht="38.25" outlineLevel="1" x14ac:dyDescent="0.2">
      <c r="A69" s="40" t="s">
        <v>238</v>
      </c>
      <c r="B69" s="12" t="s">
        <v>5</v>
      </c>
      <c r="C69" s="82">
        <v>97667</v>
      </c>
      <c r="D69" s="83" t="s">
        <v>517</v>
      </c>
      <c r="E69" s="84" t="s">
        <v>13</v>
      </c>
      <c r="F69" s="17">
        <v>176.5</v>
      </c>
      <c r="G69" s="17"/>
      <c r="H69" s="33" t="s">
        <v>29</v>
      </c>
      <c r="I69" s="16">
        <f t="shared" si="24"/>
        <v>0</v>
      </c>
      <c r="J69" s="17">
        <f t="shared" si="25"/>
        <v>0</v>
      </c>
      <c r="K69" s="91"/>
      <c r="L69" s="86"/>
    </row>
    <row r="70" spans="1:12" s="78" customFormat="1" ht="25.5" outlineLevel="1" x14ac:dyDescent="0.2">
      <c r="A70" s="40" t="s">
        <v>239</v>
      </c>
      <c r="B70" s="41" t="s">
        <v>7</v>
      </c>
      <c r="C70" s="88" t="s">
        <v>511</v>
      </c>
      <c r="D70" s="89" t="s">
        <v>558</v>
      </c>
      <c r="E70" s="90" t="s">
        <v>13</v>
      </c>
      <c r="F70" s="46">
        <v>93.2</v>
      </c>
      <c r="G70" s="46"/>
      <c r="H70" s="47" t="s">
        <v>29</v>
      </c>
      <c r="I70" s="16">
        <f t="shared" ref="I70" si="26">TRUNC(G70*(1+HLOOKUP(H70,$F$6:$I$7,2,FALSE)),2)</f>
        <v>0</v>
      </c>
      <c r="J70" s="46">
        <f t="shared" ref="J70" si="27">TRUNC(F70*I70,2)</f>
        <v>0</v>
      </c>
      <c r="K70" s="91"/>
      <c r="L70" s="86"/>
    </row>
    <row r="71" spans="1:12" s="78" customFormat="1" ht="15.75" outlineLevel="1" x14ac:dyDescent="0.2">
      <c r="A71" s="114" t="s">
        <v>180</v>
      </c>
      <c r="B71" s="115"/>
      <c r="C71" s="116"/>
      <c r="D71" s="125" t="s">
        <v>848</v>
      </c>
      <c r="E71" s="118"/>
      <c r="F71" s="119"/>
      <c r="G71" s="119"/>
      <c r="H71" s="120"/>
      <c r="I71" s="119"/>
      <c r="J71" s="119"/>
      <c r="K71" s="121"/>
      <c r="L71" s="86"/>
    </row>
    <row r="72" spans="1:12" s="78" customFormat="1" ht="38.25" outlineLevel="1" x14ac:dyDescent="0.2">
      <c r="A72" s="40" t="s">
        <v>240</v>
      </c>
      <c r="B72" s="12" t="s">
        <v>5</v>
      </c>
      <c r="C72" s="82">
        <v>97905</v>
      </c>
      <c r="D72" s="83" t="s">
        <v>533</v>
      </c>
      <c r="E72" s="84" t="s">
        <v>26</v>
      </c>
      <c r="F72" s="17">
        <v>2</v>
      </c>
      <c r="G72" s="17"/>
      <c r="H72" s="33" t="s">
        <v>29</v>
      </c>
      <c r="I72" s="16">
        <f t="shared" ref="I72:I74" si="28">TRUNC(G72*(1+HLOOKUP(H72,$F$6:$I$7,2,FALSE)),2)</f>
        <v>0</v>
      </c>
      <c r="J72" s="17">
        <f t="shared" ref="J72:J74" si="29">TRUNC(F72*I72,2)</f>
        <v>0</v>
      </c>
      <c r="K72" s="91"/>
      <c r="L72" s="86"/>
    </row>
    <row r="73" spans="1:12" s="78" customFormat="1" ht="63.75" outlineLevel="1" x14ac:dyDescent="0.2">
      <c r="A73" s="40" t="s">
        <v>518</v>
      </c>
      <c r="B73" s="12" t="s">
        <v>5</v>
      </c>
      <c r="C73" s="82">
        <v>90105</v>
      </c>
      <c r="D73" s="83" t="s">
        <v>417</v>
      </c>
      <c r="E73" s="84" t="s">
        <v>14</v>
      </c>
      <c r="F73" s="17">
        <v>3.09</v>
      </c>
      <c r="G73" s="17"/>
      <c r="H73" s="33" t="s">
        <v>29</v>
      </c>
      <c r="I73" s="16">
        <f t="shared" si="28"/>
        <v>0</v>
      </c>
      <c r="J73" s="17">
        <f t="shared" si="29"/>
        <v>0</v>
      </c>
      <c r="K73" s="91"/>
      <c r="L73" s="86"/>
    </row>
    <row r="74" spans="1:12" s="78" customFormat="1" ht="25.5" outlineLevel="1" x14ac:dyDescent="0.2">
      <c r="A74" s="40" t="s">
        <v>519</v>
      </c>
      <c r="B74" s="12" t="s">
        <v>5</v>
      </c>
      <c r="C74" s="82">
        <v>89509</v>
      </c>
      <c r="D74" s="83" t="s">
        <v>534</v>
      </c>
      <c r="E74" s="84" t="s">
        <v>13</v>
      </c>
      <c r="F74" s="17">
        <v>40</v>
      </c>
      <c r="G74" s="17"/>
      <c r="H74" s="33" t="s">
        <v>29</v>
      </c>
      <c r="I74" s="16">
        <f t="shared" si="28"/>
        <v>0</v>
      </c>
      <c r="J74" s="17">
        <f t="shared" si="29"/>
        <v>0</v>
      </c>
      <c r="K74" s="91"/>
      <c r="L74" s="86"/>
    </row>
    <row r="75" spans="1:12" s="78" customFormat="1" ht="76.5" outlineLevel="1" x14ac:dyDescent="0.2">
      <c r="A75" s="40" t="s">
        <v>520</v>
      </c>
      <c r="B75" s="41" t="s">
        <v>5</v>
      </c>
      <c r="C75" s="88">
        <v>93378</v>
      </c>
      <c r="D75" s="89" t="s">
        <v>418</v>
      </c>
      <c r="E75" s="90" t="s">
        <v>14</v>
      </c>
      <c r="F75" s="17">
        <v>3.09</v>
      </c>
      <c r="G75" s="17"/>
      <c r="H75" s="33" t="s">
        <v>29</v>
      </c>
      <c r="I75" s="16">
        <f t="shared" ref="I75:I79" si="30">TRUNC(G75*(1+HLOOKUP(H75,$F$6:$I$7,2,FALSE)),2)</f>
        <v>0</v>
      </c>
      <c r="J75" s="17">
        <f t="shared" ref="J75:J79" si="31">TRUNC(F75*I75,2)</f>
        <v>0</v>
      </c>
      <c r="K75" s="91"/>
      <c r="L75" s="86"/>
    </row>
    <row r="76" spans="1:12" s="78" customFormat="1" ht="51" outlineLevel="1" x14ac:dyDescent="0.2">
      <c r="A76" s="40" t="s">
        <v>522</v>
      </c>
      <c r="B76" s="41" t="s">
        <v>5</v>
      </c>
      <c r="C76" s="88">
        <v>99252</v>
      </c>
      <c r="D76" s="89" t="s">
        <v>531</v>
      </c>
      <c r="E76" s="90" t="s">
        <v>26</v>
      </c>
      <c r="F76" s="46">
        <v>1</v>
      </c>
      <c r="G76" s="46"/>
      <c r="H76" s="47" t="s">
        <v>29</v>
      </c>
      <c r="I76" s="17">
        <f t="shared" si="30"/>
        <v>0</v>
      </c>
      <c r="J76" s="46">
        <f t="shared" si="31"/>
        <v>0</v>
      </c>
      <c r="K76" s="91"/>
      <c r="L76" s="86"/>
    </row>
    <row r="77" spans="1:12" s="78" customFormat="1" ht="38.25" outlineLevel="1" x14ac:dyDescent="0.2">
      <c r="A77" s="40" t="s">
        <v>523</v>
      </c>
      <c r="B77" s="41" t="s">
        <v>5</v>
      </c>
      <c r="C77" s="88">
        <v>96624</v>
      </c>
      <c r="D77" s="89" t="s">
        <v>532</v>
      </c>
      <c r="E77" s="90" t="s">
        <v>14</v>
      </c>
      <c r="F77" s="46">
        <v>0.1</v>
      </c>
      <c r="G77" s="46"/>
      <c r="H77" s="47" t="s">
        <v>29</v>
      </c>
      <c r="I77" s="17">
        <f t="shared" ref="I77" si="32">TRUNC(G77*(1+HLOOKUP(H77,$F$6:$I$7,2,FALSE)),2)</f>
        <v>0</v>
      </c>
      <c r="J77" s="46">
        <f t="shared" ref="J77" si="33">TRUNC(F77*I77,2)</f>
        <v>0</v>
      </c>
      <c r="K77" s="91"/>
      <c r="L77" s="86"/>
    </row>
    <row r="78" spans="1:12" s="78" customFormat="1" ht="38.25" outlineLevel="1" x14ac:dyDescent="0.2">
      <c r="A78" s="40" t="s">
        <v>524</v>
      </c>
      <c r="B78" s="41" t="s">
        <v>5</v>
      </c>
      <c r="C78" s="88">
        <v>97736</v>
      </c>
      <c r="D78" s="89" t="s">
        <v>512</v>
      </c>
      <c r="E78" s="90" t="s">
        <v>14</v>
      </c>
      <c r="F78" s="46">
        <v>0.08</v>
      </c>
      <c r="G78" s="46"/>
      <c r="H78" s="47" t="s">
        <v>29</v>
      </c>
      <c r="I78" s="17">
        <f t="shared" si="30"/>
        <v>0</v>
      </c>
      <c r="J78" s="46">
        <f t="shared" si="31"/>
        <v>0</v>
      </c>
      <c r="K78" s="91"/>
      <c r="L78" s="86"/>
    </row>
    <row r="79" spans="1:12" s="78" customFormat="1" ht="25.5" outlineLevel="1" x14ac:dyDescent="0.2">
      <c r="A79" s="40" t="s">
        <v>535</v>
      </c>
      <c r="B79" s="41" t="s">
        <v>7</v>
      </c>
      <c r="C79" s="88" t="s">
        <v>513</v>
      </c>
      <c r="D79" s="89" t="str">
        <f>UPPER("Tampão em ferro fundido, diâmetro de 600 mm, classe C 300 (ruptura &gt; 300 Kn)")</f>
        <v>TAMPÃO EM FERRO FUNDIDO, DIÂMETRO DE 600 MM, CLASSE C 300 (RUPTURA &gt; 300 KN)</v>
      </c>
      <c r="E79" s="90" t="s">
        <v>26</v>
      </c>
      <c r="F79" s="46">
        <v>1</v>
      </c>
      <c r="G79" s="46"/>
      <c r="H79" s="47" t="s">
        <v>29</v>
      </c>
      <c r="I79" s="17">
        <f t="shared" si="30"/>
        <v>0</v>
      </c>
      <c r="J79" s="46">
        <f t="shared" si="31"/>
        <v>0</v>
      </c>
      <c r="K79" s="91"/>
      <c r="L79" s="86"/>
    </row>
    <row r="80" spans="1:12" s="78" customFormat="1" ht="15.75" outlineLevel="1" x14ac:dyDescent="0.2">
      <c r="A80" s="114" t="s">
        <v>497</v>
      </c>
      <c r="B80" s="115"/>
      <c r="C80" s="116"/>
      <c r="D80" s="117" t="s">
        <v>75</v>
      </c>
      <c r="E80" s="118"/>
      <c r="F80" s="119"/>
      <c r="G80" s="119"/>
      <c r="H80" s="120"/>
      <c r="I80" s="119"/>
      <c r="J80" s="119"/>
      <c r="K80" s="121"/>
      <c r="L80" s="86"/>
    </row>
    <row r="81" spans="1:12" s="78" customFormat="1" ht="25.5" outlineLevel="1" x14ac:dyDescent="0.2">
      <c r="A81" s="40" t="s">
        <v>499</v>
      </c>
      <c r="B81" s="41" t="s">
        <v>7</v>
      </c>
      <c r="C81" s="88" t="s">
        <v>77</v>
      </c>
      <c r="D81" s="89" t="str">
        <f>UPPER("Regularização e compactação mecanizada de superfície, sem controle do proctor normal")</f>
        <v>REGULARIZAÇÃO E COMPACTAÇÃO MECANIZADA DE SUPERFÍCIE, SEM CONTROLE DO PROCTOR NORMAL</v>
      </c>
      <c r="E81" s="90" t="s">
        <v>11</v>
      </c>
      <c r="F81" s="46">
        <v>547.52</v>
      </c>
      <c r="G81" s="46"/>
      <c r="H81" s="47" t="s">
        <v>29</v>
      </c>
      <c r="I81" s="16">
        <f t="shared" si="18"/>
        <v>0</v>
      </c>
      <c r="J81" s="46">
        <f>TRUNC(F81*I81,2)</f>
        <v>0</v>
      </c>
      <c r="K81" s="91"/>
      <c r="L81" s="86"/>
    </row>
    <row r="82" spans="1:12" s="78" customFormat="1" ht="38.25" outlineLevel="1" x14ac:dyDescent="0.2">
      <c r="A82" s="40" t="s">
        <v>538</v>
      </c>
      <c r="B82" s="41" t="s">
        <v>5</v>
      </c>
      <c r="C82" s="88">
        <v>94265</v>
      </c>
      <c r="D82" s="89" t="s">
        <v>521</v>
      </c>
      <c r="E82" s="84" t="s">
        <v>13</v>
      </c>
      <c r="F82" s="46">
        <v>60.9</v>
      </c>
      <c r="G82" s="17"/>
      <c r="H82" s="33" t="s">
        <v>29</v>
      </c>
      <c r="I82" s="17">
        <f t="shared" ref="I82" si="34">TRUNC(G82*(1+HLOOKUP(H82,$F$6:$I$7,2,FALSE)),2)</f>
        <v>0</v>
      </c>
      <c r="J82" s="17">
        <f t="shared" ref="J82" si="35">TRUNC(F82*I82,2)</f>
        <v>0</v>
      </c>
      <c r="K82" s="91"/>
      <c r="L82" s="86"/>
    </row>
    <row r="83" spans="1:12" s="78" customFormat="1" ht="38.25" outlineLevel="1" x14ac:dyDescent="0.2">
      <c r="A83" s="40" t="s">
        <v>539</v>
      </c>
      <c r="B83" s="12" t="s">
        <v>5</v>
      </c>
      <c r="C83" s="82">
        <v>92394</v>
      </c>
      <c r="D83" s="83" t="s">
        <v>81</v>
      </c>
      <c r="E83" s="84" t="s">
        <v>11</v>
      </c>
      <c r="F83" s="46">
        <v>547.52</v>
      </c>
      <c r="G83" s="17"/>
      <c r="H83" s="33" t="s">
        <v>29</v>
      </c>
      <c r="I83" s="16">
        <f t="shared" si="18"/>
        <v>0</v>
      </c>
      <c r="J83" s="17">
        <f>TRUNC(F83*I83,2)</f>
        <v>0</v>
      </c>
      <c r="K83" s="55"/>
      <c r="L83" s="86"/>
    </row>
    <row r="84" spans="1:12" s="78" customFormat="1" ht="38.25" outlineLevel="1" x14ac:dyDescent="0.2">
      <c r="A84" s="40" t="s">
        <v>540</v>
      </c>
      <c r="B84" s="41" t="s">
        <v>5</v>
      </c>
      <c r="C84" s="88">
        <v>95877</v>
      </c>
      <c r="D84" s="89" t="s">
        <v>78</v>
      </c>
      <c r="E84" s="90" t="s">
        <v>79</v>
      </c>
      <c r="F84" s="46">
        <v>1314.05</v>
      </c>
      <c r="G84" s="17"/>
      <c r="H84" s="33" t="s">
        <v>29</v>
      </c>
      <c r="I84" s="16">
        <f t="shared" si="18"/>
        <v>0</v>
      </c>
      <c r="J84" s="17">
        <f t="shared" ref="J84" si="36">TRUNC(F84*I84,2)</f>
        <v>0</v>
      </c>
      <c r="K84" s="91"/>
      <c r="L84" s="86"/>
    </row>
    <row r="85" spans="1:12" s="78" customFormat="1" ht="15.75" outlineLevel="1" x14ac:dyDescent="0.2">
      <c r="A85" s="114" t="s">
        <v>507</v>
      </c>
      <c r="B85" s="115"/>
      <c r="C85" s="116"/>
      <c r="D85" s="117" t="s">
        <v>76</v>
      </c>
      <c r="E85" s="118"/>
      <c r="F85" s="119"/>
      <c r="G85" s="119"/>
      <c r="H85" s="120"/>
      <c r="I85" s="119"/>
      <c r="J85" s="119"/>
      <c r="K85" s="121"/>
      <c r="L85" s="86"/>
    </row>
    <row r="86" spans="1:12" s="78" customFormat="1" ht="15.75" outlineLevel="1" x14ac:dyDescent="0.2">
      <c r="A86" s="40" t="s">
        <v>527</v>
      </c>
      <c r="B86" s="12" t="s">
        <v>5</v>
      </c>
      <c r="C86" s="82">
        <v>98504</v>
      </c>
      <c r="D86" s="83" t="s">
        <v>80</v>
      </c>
      <c r="E86" s="84" t="s">
        <v>11</v>
      </c>
      <c r="F86" s="46">
        <v>487.89</v>
      </c>
      <c r="G86" s="17"/>
      <c r="H86" s="33" t="s">
        <v>29</v>
      </c>
      <c r="I86" s="16">
        <f t="shared" ref="I86" si="37">TRUNC(G86*(1+HLOOKUP(H86,$F$6:$I$7,2,FALSE)),2)</f>
        <v>0</v>
      </c>
      <c r="J86" s="17">
        <f t="shared" ref="J86" si="38">TRUNC(F86*I86,2)</f>
        <v>0</v>
      </c>
      <c r="K86" s="55"/>
      <c r="L86" s="86"/>
    </row>
    <row r="87" spans="1:12" s="78" customFormat="1" ht="15.75" outlineLevel="1" x14ac:dyDescent="0.2">
      <c r="A87" s="114" t="s">
        <v>541</v>
      </c>
      <c r="B87" s="115"/>
      <c r="C87" s="116"/>
      <c r="D87" s="117" t="s">
        <v>498</v>
      </c>
      <c r="E87" s="118"/>
      <c r="F87" s="119"/>
      <c r="G87" s="119"/>
      <c r="H87" s="120"/>
      <c r="I87" s="119"/>
      <c r="J87" s="119"/>
      <c r="K87" s="121"/>
      <c r="L87" s="86"/>
    </row>
    <row r="88" spans="1:12" s="78" customFormat="1" ht="51" outlineLevel="1" x14ac:dyDescent="0.2">
      <c r="A88" s="40" t="s">
        <v>542</v>
      </c>
      <c r="B88" s="12" t="s">
        <v>5</v>
      </c>
      <c r="C88" s="82">
        <v>94269</v>
      </c>
      <c r="D88" s="83" t="s">
        <v>526</v>
      </c>
      <c r="E88" s="84" t="s">
        <v>13</v>
      </c>
      <c r="F88" s="46">
        <v>24.3</v>
      </c>
      <c r="G88" s="17"/>
      <c r="H88" s="33" t="s">
        <v>29</v>
      </c>
      <c r="I88" s="16">
        <f t="shared" ref="I88:I90" si="39">TRUNC(G88*(1+HLOOKUP(H88,$F$6:$I$7,2,FALSE)),2)</f>
        <v>0</v>
      </c>
      <c r="J88" s="17">
        <f t="shared" ref="J88:J90" si="40">TRUNC(F88*I88,2)</f>
        <v>0</v>
      </c>
      <c r="K88" s="55"/>
      <c r="L88" s="86"/>
    </row>
    <row r="89" spans="1:12" s="78" customFormat="1" ht="51" outlineLevel="1" x14ac:dyDescent="0.2">
      <c r="A89" s="40" t="s">
        <v>543</v>
      </c>
      <c r="B89" s="12" t="s">
        <v>5</v>
      </c>
      <c r="C89" s="82">
        <v>94270</v>
      </c>
      <c r="D89" s="83" t="s">
        <v>525</v>
      </c>
      <c r="E89" s="84" t="s">
        <v>13</v>
      </c>
      <c r="F89" s="46">
        <v>66.7</v>
      </c>
      <c r="G89" s="17"/>
      <c r="H89" s="33" t="s">
        <v>29</v>
      </c>
      <c r="I89" s="16">
        <f t="shared" si="39"/>
        <v>0</v>
      </c>
      <c r="J89" s="17">
        <f t="shared" si="40"/>
        <v>0</v>
      </c>
      <c r="K89" s="55"/>
      <c r="L89" s="86"/>
    </row>
    <row r="90" spans="1:12" s="78" customFormat="1" ht="51" outlineLevel="1" x14ac:dyDescent="0.2">
      <c r="A90" s="40" t="s">
        <v>544</v>
      </c>
      <c r="B90" s="12" t="s">
        <v>5</v>
      </c>
      <c r="C90" s="82">
        <v>94993</v>
      </c>
      <c r="D90" s="83" t="s">
        <v>528</v>
      </c>
      <c r="E90" s="84" t="s">
        <v>11</v>
      </c>
      <c r="F90" s="46">
        <v>583.62</v>
      </c>
      <c r="G90" s="17"/>
      <c r="H90" s="33" t="s">
        <v>29</v>
      </c>
      <c r="I90" s="16">
        <f t="shared" si="39"/>
        <v>0</v>
      </c>
      <c r="J90" s="17">
        <f t="shared" si="40"/>
        <v>0</v>
      </c>
      <c r="K90" s="55"/>
      <c r="L90" s="86"/>
    </row>
    <row r="91" spans="1:12" s="81" customFormat="1" ht="30" customHeight="1" x14ac:dyDescent="0.2">
      <c r="A91" s="63" t="s">
        <v>83</v>
      </c>
      <c r="B91" s="64"/>
      <c r="C91" s="65"/>
      <c r="D91" s="66" t="s">
        <v>529</v>
      </c>
      <c r="E91" s="71"/>
      <c r="F91" s="68"/>
      <c r="G91" s="68"/>
      <c r="H91" s="72"/>
      <c r="I91" s="68" t="s">
        <v>17</v>
      </c>
      <c r="J91" s="69">
        <f>SUM(J92:J92)</f>
        <v>0</v>
      </c>
      <c r="K91" s="70" t="e">
        <f>J91/$J$414</f>
        <v>#DIV/0!</v>
      </c>
      <c r="L91" s="87"/>
    </row>
    <row r="92" spans="1:12" s="78" customFormat="1" ht="25.5" outlineLevel="1" x14ac:dyDescent="0.2">
      <c r="A92" s="18" t="s">
        <v>86</v>
      </c>
      <c r="B92" s="12" t="s">
        <v>5</v>
      </c>
      <c r="C92" s="13">
        <v>97102</v>
      </c>
      <c r="D92" s="14" t="s">
        <v>82</v>
      </c>
      <c r="E92" s="15" t="s">
        <v>11</v>
      </c>
      <c r="F92" s="16">
        <v>95.2</v>
      </c>
      <c r="G92" s="17"/>
      <c r="H92" s="47" t="s">
        <v>29</v>
      </c>
      <c r="I92" s="16">
        <f t="shared" ref="I92" si="41">TRUNC(G92*(1+HLOOKUP(H92,$F$6:$I$7,2,FALSE)),2)</f>
        <v>0</v>
      </c>
      <c r="J92" s="16">
        <f t="shared" ref="J92" si="42">TRUNC(F92*I92,2)</f>
        <v>0</v>
      </c>
      <c r="K92" s="20"/>
      <c r="L92" s="86"/>
    </row>
    <row r="93" spans="1:12" s="81" customFormat="1" ht="30" customHeight="1" x14ac:dyDescent="0.2">
      <c r="A93" s="63" t="s">
        <v>84</v>
      </c>
      <c r="B93" s="64"/>
      <c r="C93" s="65"/>
      <c r="D93" s="66" t="s">
        <v>241</v>
      </c>
      <c r="E93" s="67"/>
      <c r="F93" s="68"/>
      <c r="G93" s="68"/>
      <c r="H93" s="68"/>
      <c r="I93" s="68" t="s">
        <v>17</v>
      </c>
      <c r="J93" s="69">
        <f>SUM(J94:J222)</f>
        <v>0</v>
      </c>
      <c r="K93" s="70" t="e">
        <f>J93/$J$414</f>
        <v>#DIV/0!</v>
      </c>
      <c r="L93" s="87"/>
    </row>
    <row r="94" spans="1:12" s="81" customFormat="1" ht="15.75" outlineLevel="1" x14ac:dyDescent="0.2">
      <c r="A94" s="114" t="s">
        <v>275</v>
      </c>
      <c r="B94" s="115"/>
      <c r="C94" s="116"/>
      <c r="D94" s="117" t="s">
        <v>545</v>
      </c>
      <c r="E94" s="118"/>
      <c r="F94" s="119"/>
      <c r="G94" s="119"/>
      <c r="H94" s="120"/>
      <c r="I94" s="119"/>
      <c r="J94" s="119"/>
      <c r="K94" s="121"/>
      <c r="L94" s="87"/>
    </row>
    <row r="95" spans="1:12" s="81" customFormat="1" ht="38.25" outlineLevel="1" x14ac:dyDescent="0.2">
      <c r="A95" s="122" t="s">
        <v>276</v>
      </c>
      <c r="B95" s="12" t="s">
        <v>5</v>
      </c>
      <c r="C95" s="13">
        <v>99059</v>
      </c>
      <c r="D95" s="14" t="s">
        <v>45</v>
      </c>
      <c r="E95" s="15" t="s">
        <v>13</v>
      </c>
      <c r="F95" s="16">
        <v>54</v>
      </c>
      <c r="G95" s="17"/>
      <c r="H95" s="47" t="s">
        <v>29</v>
      </c>
      <c r="I95" s="16">
        <f t="shared" ref="I95" si="43">TRUNC(G95*(1+HLOOKUP(H95,$F$6:$I$7,2,FALSE)),2)</f>
        <v>0</v>
      </c>
      <c r="J95" s="16">
        <f t="shared" ref="J95" si="44">TRUNC(F95*I95,2)</f>
        <v>0</v>
      </c>
      <c r="K95" s="55"/>
      <c r="L95" s="87"/>
    </row>
    <row r="96" spans="1:12" s="81" customFormat="1" ht="38.25" outlineLevel="1" x14ac:dyDescent="0.2">
      <c r="A96" s="122" t="s">
        <v>277</v>
      </c>
      <c r="B96" s="12" t="s">
        <v>5</v>
      </c>
      <c r="C96" s="82">
        <v>101173</v>
      </c>
      <c r="D96" s="83" t="s">
        <v>61</v>
      </c>
      <c r="E96" s="84" t="s">
        <v>13</v>
      </c>
      <c r="F96" s="17">
        <v>36</v>
      </c>
      <c r="G96" s="17"/>
      <c r="H96" s="47" t="s">
        <v>29</v>
      </c>
      <c r="I96" s="17">
        <f t="shared" ref="I96:I111" si="45">TRUNC(G96*(1+HLOOKUP(H96,$F$6:$I$7,2,FALSE)),2)</f>
        <v>0</v>
      </c>
      <c r="J96" s="17">
        <f t="shared" ref="J96:J111" si="46">TRUNC(F96*I96,2)</f>
        <v>0</v>
      </c>
      <c r="K96" s="55"/>
      <c r="L96" s="87"/>
    </row>
    <row r="97" spans="1:12" s="81" customFormat="1" ht="25.5" outlineLevel="1" x14ac:dyDescent="0.2">
      <c r="A97" s="122" t="s">
        <v>278</v>
      </c>
      <c r="B97" s="12" t="s">
        <v>5</v>
      </c>
      <c r="C97" s="82">
        <v>93358</v>
      </c>
      <c r="D97" s="83" t="s">
        <v>211</v>
      </c>
      <c r="E97" s="84" t="s">
        <v>14</v>
      </c>
      <c r="F97" s="17">
        <v>13.92</v>
      </c>
      <c r="G97" s="17"/>
      <c r="H97" s="47" t="s">
        <v>29</v>
      </c>
      <c r="I97" s="17">
        <f t="shared" si="45"/>
        <v>0</v>
      </c>
      <c r="J97" s="17">
        <f t="shared" si="46"/>
        <v>0</v>
      </c>
      <c r="K97" s="55"/>
      <c r="L97" s="87"/>
    </row>
    <row r="98" spans="1:12" s="81" customFormat="1" ht="38.25" outlineLevel="1" x14ac:dyDescent="0.2">
      <c r="A98" s="122" t="s">
        <v>279</v>
      </c>
      <c r="B98" s="12" t="s">
        <v>5</v>
      </c>
      <c r="C98" s="82">
        <v>96536</v>
      </c>
      <c r="D98" s="83" t="s">
        <v>243</v>
      </c>
      <c r="E98" s="84" t="s">
        <v>11</v>
      </c>
      <c r="F98" s="17">
        <v>34.799999999999997</v>
      </c>
      <c r="G98" s="17"/>
      <c r="H98" s="47" t="s">
        <v>29</v>
      </c>
      <c r="I98" s="17">
        <f t="shared" si="45"/>
        <v>0</v>
      </c>
      <c r="J98" s="17">
        <f t="shared" si="46"/>
        <v>0</v>
      </c>
      <c r="K98" s="55"/>
      <c r="L98" s="87"/>
    </row>
    <row r="99" spans="1:12" s="81" customFormat="1" ht="38.25" outlineLevel="1" x14ac:dyDescent="0.2">
      <c r="A99" s="122" t="s">
        <v>280</v>
      </c>
      <c r="B99" s="12" t="s">
        <v>5</v>
      </c>
      <c r="C99" s="82">
        <v>96534</v>
      </c>
      <c r="D99" s="83" t="s">
        <v>244</v>
      </c>
      <c r="E99" s="84" t="s">
        <v>11</v>
      </c>
      <c r="F99" s="17">
        <v>17.28</v>
      </c>
      <c r="G99" s="17"/>
      <c r="H99" s="47" t="s">
        <v>29</v>
      </c>
      <c r="I99" s="17">
        <f t="shared" ref="I99" si="47">TRUNC(G99*(1+HLOOKUP(H99,$F$6:$I$7,2,FALSE)),2)</f>
        <v>0</v>
      </c>
      <c r="J99" s="17">
        <f t="shared" ref="J99" si="48">TRUNC(F99*I99,2)</f>
        <v>0</v>
      </c>
      <c r="K99" s="55"/>
      <c r="L99" s="87"/>
    </row>
    <row r="100" spans="1:12" s="81" customFormat="1" ht="25.5" outlineLevel="1" x14ac:dyDescent="0.2">
      <c r="A100" s="122" t="s">
        <v>281</v>
      </c>
      <c r="B100" s="12" t="s">
        <v>5</v>
      </c>
      <c r="C100" s="82">
        <v>96621</v>
      </c>
      <c r="D100" s="83" t="s">
        <v>398</v>
      </c>
      <c r="E100" s="84" t="s">
        <v>14</v>
      </c>
      <c r="F100" s="17">
        <v>0.94</v>
      </c>
      <c r="G100" s="17"/>
      <c r="H100" s="47" t="s">
        <v>29</v>
      </c>
      <c r="I100" s="17">
        <f t="shared" ref="I100" si="49">TRUNC(G100*(1+HLOOKUP(H100,$F$6:$I$7,2,FALSE)),2)</f>
        <v>0</v>
      </c>
      <c r="J100" s="17">
        <f t="shared" ref="J100" si="50">TRUNC(F100*I100,2)</f>
        <v>0</v>
      </c>
      <c r="K100" s="55"/>
      <c r="L100" s="87"/>
    </row>
    <row r="101" spans="1:12" s="81" customFormat="1" ht="25.5" outlineLevel="1" x14ac:dyDescent="0.2">
      <c r="A101" s="122" t="s">
        <v>282</v>
      </c>
      <c r="B101" s="12" t="s">
        <v>7</v>
      </c>
      <c r="C101" s="82" t="s">
        <v>47</v>
      </c>
      <c r="D101" s="83" t="s">
        <v>62</v>
      </c>
      <c r="E101" s="84" t="s">
        <v>48</v>
      </c>
      <c r="F101" s="17">
        <v>237.32</v>
      </c>
      <c r="G101" s="17"/>
      <c r="H101" s="47" t="s">
        <v>29</v>
      </c>
      <c r="I101" s="17">
        <f t="shared" si="45"/>
        <v>0</v>
      </c>
      <c r="J101" s="17">
        <f t="shared" si="46"/>
        <v>0</v>
      </c>
      <c r="K101" s="55"/>
      <c r="L101" s="87"/>
    </row>
    <row r="102" spans="1:12" s="81" customFormat="1" ht="25.5" outlineLevel="1" x14ac:dyDescent="0.2">
      <c r="A102" s="122" t="s">
        <v>283</v>
      </c>
      <c r="B102" s="12" t="s">
        <v>7</v>
      </c>
      <c r="C102" s="82" t="s">
        <v>63</v>
      </c>
      <c r="D102" s="83" t="s">
        <v>64</v>
      </c>
      <c r="E102" s="84" t="s">
        <v>48</v>
      </c>
      <c r="F102" s="17">
        <v>53.59</v>
      </c>
      <c r="G102" s="17"/>
      <c r="H102" s="47" t="s">
        <v>29</v>
      </c>
      <c r="I102" s="17">
        <f t="shared" si="45"/>
        <v>0</v>
      </c>
      <c r="J102" s="17">
        <f t="shared" si="46"/>
        <v>0</v>
      </c>
      <c r="K102" s="55"/>
      <c r="L102" s="87"/>
    </row>
    <row r="103" spans="1:12" s="81" customFormat="1" ht="15.75" outlineLevel="1" x14ac:dyDescent="0.2">
      <c r="A103" s="122" t="s">
        <v>397</v>
      </c>
      <c r="B103" s="12" t="s">
        <v>7</v>
      </c>
      <c r="C103" s="82" t="s">
        <v>46</v>
      </c>
      <c r="D103" s="83" t="s">
        <v>65</v>
      </c>
      <c r="E103" s="84" t="s">
        <v>14</v>
      </c>
      <c r="F103" s="17">
        <v>8.67</v>
      </c>
      <c r="G103" s="17"/>
      <c r="H103" s="47" t="s">
        <v>29</v>
      </c>
      <c r="I103" s="17">
        <f t="shared" si="45"/>
        <v>0</v>
      </c>
      <c r="J103" s="17">
        <f t="shared" si="46"/>
        <v>0</v>
      </c>
      <c r="K103" s="55"/>
      <c r="L103" s="87"/>
    </row>
    <row r="104" spans="1:12" s="81" customFormat="1" ht="25.5" outlineLevel="1" x14ac:dyDescent="0.2">
      <c r="A104" s="122" t="s">
        <v>413</v>
      </c>
      <c r="B104" s="12" t="s">
        <v>5</v>
      </c>
      <c r="C104" s="82">
        <v>103673</v>
      </c>
      <c r="D104" s="83" t="s">
        <v>66</v>
      </c>
      <c r="E104" s="84" t="s">
        <v>14</v>
      </c>
      <c r="F104" s="17">
        <v>8.67</v>
      </c>
      <c r="G104" s="17"/>
      <c r="H104" s="47" t="s">
        <v>29</v>
      </c>
      <c r="I104" s="17">
        <f t="shared" si="45"/>
        <v>0</v>
      </c>
      <c r="J104" s="17">
        <f t="shared" si="46"/>
        <v>0</v>
      </c>
      <c r="K104" s="55"/>
      <c r="L104" s="87"/>
    </row>
    <row r="105" spans="1:12" s="81" customFormat="1" ht="25.5" outlineLevel="1" x14ac:dyDescent="0.2">
      <c r="A105" s="122" t="s">
        <v>546</v>
      </c>
      <c r="B105" s="12" t="s">
        <v>5</v>
      </c>
      <c r="C105" s="82">
        <v>98557</v>
      </c>
      <c r="D105" s="83" t="s">
        <v>547</v>
      </c>
      <c r="E105" s="84" t="s">
        <v>11</v>
      </c>
      <c r="F105" s="17">
        <v>49.3</v>
      </c>
      <c r="G105" s="17"/>
      <c r="H105" s="47" t="s">
        <v>29</v>
      </c>
      <c r="I105" s="17">
        <f t="shared" ref="I105:I106" si="51">TRUNC(G105*(1+HLOOKUP(H105,$F$6:$I$7,2,FALSE)),2)</f>
        <v>0</v>
      </c>
      <c r="J105" s="17">
        <f t="shared" ref="J105:J106" si="52">TRUNC(F105*I105,2)</f>
        <v>0</v>
      </c>
      <c r="K105" s="55"/>
      <c r="L105" s="87"/>
    </row>
    <row r="106" spans="1:12" s="81" customFormat="1" ht="51" outlineLevel="1" x14ac:dyDescent="0.2">
      <c r="A106" s="122" t="s">
        <v>551</v>
      </c>
      <c r="B106" s="12" t="s">
        <v>5</v>
      </c>
      <c r="C106" s="82">
        <v>101165</v>
      </c>
      <c r="D106" s="83" t="s">
        <v>550</v>
      </c>
      <c r="E106" s="84" t="s">
        <v>14</v>
      </c>
      <c r="F106" s="17">
        <v>2.06</v>
      </c>
      <c r="G106" s="17"/>
      <c r="H106" s="47" t="s">
        <v>29</v>
      </c>
      <c r="I106" s="17">
        <f t="shared" si="51"/>
        <v>0</v>
      </c>
      <c r="J106" s="17">
        <f t="shared" si="52"/>
        <v>0</v>
      </c>
      <c r="K106" s="55"/>
      <c r="L106" s="87"/>
    </row>
    <row r="107" spans="1:12" s="81" customFormat="1" ht="51" outlineLevel="1" x14ac:dyDescent="0.2">
      <c r="A107" s="122" t="s">
        <v>553</v>
      </c>
      <c r="B107" s="12" t="s">
        <v>5</v>
      </c>
      <c r="C107" s="82">
        <v>96624</v>
      </c>
      <c r="D107" s="83" t="s">
        <v>552</v>
      </c>
      <c r="E107" s="84" t="s">
        <v>14</v>
      </c>
      <c r="F107" s="17">
        <v>0.35</v>
      </c>
      <c r="G107" s="17"/>
      <c r="H107" s="47" t="s">
        <v>29</v>
      </c>
      <c r="I107" s="17">
        <f t="shared" ref="I107" si="53">TRUNC(G107*(1+HLOOKUP(H107,$F$6:$I$7,2,FALSE)),2)</f>
        <v>0</v>
      </c>
      <c r="J107" s="17">
        <f t="shared" ref="J107" si="54">TRUNC(F107*I107,2)</f>
        <v>0</v>
      </c>
      <c r="K107" s="55"/>
      <c r="L107" s="87"/>
    </row>
    <row r="108" spans="1:12" s="81" customFormat="1" ht="15.75" outlineLevel="1" x14ac:dyDescent="0.2">
      <c r="A108" s="114" t="s">
        <v>284</v>
      </c>
      <c r="B108" s="115"/>
      <c r="C108" s="116"/>
      <c r="D108" s="117" t="s">
        <v>245</v>
      </c>
      <c r="E108" s="118"/>
      <c r="F108" s="119"/>
      <c r="G108" s="119"/>
      <c r="H108" s="120"/>
      <c r="I108" s="119"/>
      <c r="J108" s="119"/>
      <c r="K108" s="121"/>
      <c r="L108" s="87"/>
    </row>
    <row r="109" spans="1:12" s="81" customFormat="1" ht="25.5" outlineLevel="1" x14ac:dyDescent="0.2">
      <c r="A109" s="122" t="s">
        <v>285</v>
      </c>
      <c r="B109" s="12" t="s">
        <v>5</v>
      </c>
      <c r="C109" s="82">
        <v>92269</v>
      </c>
      <c r="D109" s="83" t="s">
        <v>246</v>
      </c>
      <c r="E109" s="84" t="s">
        <v>11</v>
      </c>
      <c r="F109" s="17">
        <v>31.01</v>
      </c>
      <c r="G109" s="17"/>
      <c r="H109" s="47" t="s">
        <v>29</v>
      </c>
      <c r="I109" s="17">
        <f t="shared" si="45"/>
        <v>0</v>
      </c>
      <c r="J109" s="17">
        <f t="shared" si="46"/>
        <v>0</v>
      </c>
      <c r="K109" s="55"/>
      <c r="L109" s="87"/>
    </row>
    <row r="110" spans="1:12" s="81" customFormat="1" ht="25.5" outlineLevel="1" x14ac:dyDescent="0.2">
      <c r="A110" s="122" t="s">
        <v>286</v>
      </c>
      <c r="B110" s="12" t="s">
        <v>5</v>
      </c>
      <c r="C110" s="82">
        <v>92270</v>
      </c>
      <c r="D110" s="83" t="s">
        <v>247</v>
      </c>
      <c r="E110" s="84" t="s">
        <v>11</v>
      </c>
      <c r="F110" s="17">
        <v>46.4</v>
      </c>
      <c r="G110" s="17"/>
      <c r="H110" s="47" t="s">
        <v>29</v>
      </c>
      <c r="I110" s="17">
        <f t="shared" si="45"/>
        <v>0</v>
      </c>
      <c r="J110" s="17">
        <f t="shared" si="46"/>
        <v>0</v>
      </c>
      <c r="K110" s="55"/>
      <c r="L110" s="87"/>
    </row>
    <row r="111" spans="1:12" s="81" customFormat="1" ht="25.5" outlineLevel="1" x14ac:dyDescent="0.2">
      <c r="A111" s="122" t="s">
        <v>287</v>
      </c>
      <c r="B111" s="12" t="s">
        <v>7</v>
      </c>
      <c r="C111" s="82" t="s">
        <v>47</v>
      </c>
      <c r="D111" s="83" t="s">
        <v>62</v>
      </c>
      <c r="E111" s="84" t="s">
        <v>48</v>
      </c>
      <c r="F111" s="17">
        <v>243.84</v>
      </c>
      <c r="G111" s="17"/>
      <c r="H111" s="47" t="s">
        <v>29</v>
      </c>
      <c r="I111" s="17">
        <f t="shared" si="45"/>
        <v>0</v>
      </c>
      <c r="J111" s="17">
        <f t="shared" si="46"/>
        <v>0</v>
      </c>
      <c r="K111" s="55"/>
      <c r="L111" s="87"/>
    </row>
    <row r="112" spans="1:12" s="81" customFormat="1" ht="25.5" outlineLevel="1" x14ac:dyDescent="0.2">
      <c r="A112" s="122" t="s">
        <v>288</v>
      </c>
      <c r="B112" s="12" t="s">
        <v>7</v>
      </c>
      <c r="C112" s="82" t="s">
        <v>63</v>
      </c>
      <c r="D112" s="83" t="s">
        <v>64</v>
      </c>
      <c r="E112" s="84" t="s">
        <v>48</v>
      </c>
      <c r="F112" s="17">
        <v>394.77</v>
      </c>
      <c r="G112" s="17"/>
      <c r="H112" s="47" t="s">
        <v>29</v>
      </c>
      <c r="I112" s="17">
        <f t="shared" ref="I112:I124" si="55">TRUNC(G112*(1+HLOOKUP(H112,$F$6:$I$7,2,FALSE)),2)</f>
        <v>0</v>
      </c>
      <c r="J112" s="17">
        <f t="shared" ref="J112:J124" si="56">TRUNC(F112*I112,2)</f>
        <v>0</v>
      </c>
      <c r="K112" s="55"/>
      <c r="L112" s="87"/>
    </row>
    <row r="113" spans="1:12" s="81" customFormat="1" ht="38.25" outlineLevel="1" x14ac:dyDescent="0.2">
      <c r="A113" s="122" t="s">
        <v>289</v>
      </c>
      <c r="B113" s="12" t="s">
        <v>5</v>
      </c>
      <c r="C113" s="82">
        <v>103669</v>
      </c>
      <c r="D113" s="83" t="s">
        <v>248</v>
      </c>
      <c r="E113" s="84" t="s">
        <v>14</v>
      </c>
      <c r="F113" s="17">
        <v>1.47</v>
      </c>
      <c r="G113" s="17"/>
      <c r="H113" s="47" t="s">
        <v>29</v>
      </c>
      <c r="I113" s="17">
        <f t="shared" si="55"/>
        <v>0</v>
      </c>
      <c r="J113" s="17">
        <f t="shared" si="56"/>
        <v>0</v>
      </c>
      <c r="K113" s="55"/>
      <c r="L113" s="87"/>
    </row>
    <row r="114" spans="1:12" s="81" customFormat="1" ht="51" outlineLevel="1" x14ac:dyDescent="0.2">
      <c r="A114" s="122" t="s">
        <v>290</v>
      </c>
      <c r="B114" s="12" t="s">
        <v>5</v>
      </c>
      <c r="C114" s="82">
        <v>103682</v>
      </c>
      <c r="D114" s="83" t="s">
        <v>249</v>
      </c>
      <c r="E114" s="84" t="s">
        <v>14</v>
      </c>
      <c r="F114" s="17">
        <v>4.54</v>
      </c>
      <c r="G114" s="17"/>
      <c r="H114" s="47" t="s">
        <v>29</v>
      </c>
      <c r="I114" s="17">
        <f t="shared" si="55"/>
        <v>0</v>
      </c>
      <c r="J114" s="17">
        <f t="shared" si="56"/>
        <v>0</v>
      </c>
      <c r="K114" s="55"/>
      <c r="L114" s="87"/>
    </row>
    <row r="115" spans="1:12" s="81" customFormat="1" ht="51" outlineLevel="1" x14ac:dyDescent="0.2">
      <c r="A115" s="122" t="s">
        <v>291</v>
      </c>
      <c r="B115" s="12" t="s">
        <v>5</v>
      </c>
      <c r="C115" s="82">
        <v>101963</v>
      </c>
      <c r="D115" s="83" t="s">
        <v>250</v>
      </c>
      <c r="E115" s="84" t="s">
        <v>11</v>
      </c>
      <c r="F115" s="17">
        <v>1.65</v>
      </c>
      <c r="G115" s="17"/>
      <c r="H115" s="47" t="s">
        <v>29</v>
      </c>
      <c r="I115" s="17">
        <f t="shared" si="55"/>
        <v>0</v>
      </c>
      <c r="J115" s="17">
        <f t="shared" si="56"/>
        <v>0</v>
      </c>
      <c r="K115" s="55"/>
      <c r="L115" s="87"/>
    </row>
    <row r="116" spans="1:12" s="81" customFormat="1" ht="15.75" outlineLevel="1" x14ac:dyDescent="0.2">
      <c r="A116" s="114" t="s">
        <v>292</v>
      </c>
      <c r="B116" s="115"/>
      <c r="C116" s="116"/>
      <c r="D116" s="117" t="s">
        <v>251</v>
      </c>
      <c r="E116" s="118"/>
      <c r="F116" s="119"/>
      <c r="G116" s="119"/>
      <c r="H116" s="120"/>
      <c r="I116" s="119"/>
      <c r="J116" s="119"/>
      <c r="K116" s="121"/>
      <c r="L116" s="87"/>
    </row>
    <row r="117" spans="1:12" s="81" customFormat="1" ht="51" outlineLevel="1" x14ac:dyDescent="0.2">
      <c r="A117" s="122" t="s">
        <v>293</v>
      </c>
      <c r="B117" s="12" t="s">
        <v>5</v>
      </c>
      <c r="C117" s="82">
        <v>103338</v>
      </c>
      <c r="D117" s="83" t="s">
        <v>67</v>
      </c>
      <c r="E117" s="84" t="s">
        <v>11</v>
      </c>
      <c r="F117" s="17">
        <v>204.95</v>
      </c>
      <c r="G117" s="17"/>
      <c r="H117" s="47" t="s">
        <v>29</v>
      </c>
      <c r="I117" s="17">
        <f t="shared" si="55"/>
        <v>0</v>
      </c>
      <c r="J117" s="17">
        <f t="shared" si="56"/>
        <v>0</v>
      </c>
      <c r="K117" s="55"/>
      <c r="L117" s="87"/>
    </row>
    <row r="118" spans="1:12" s="81" customFormat="1" ht="51" outlineLevel="1" x14ac:dyDescent="0.2">
      <c r="A118" s="122" t="s">
        <v>294</v>
      </c>
      <c r="B118" s="12" t="s">
        <v>5</v>
      </c>
      <c r="C118" s="82">
        <v>101162</v>
      </c>
      <c r="D118" s="83" t="s">
        <v>252</v>
      </c>
      <c r="E118" s="84" t="s">
        <v>11</v>
      </c>
      <c r="F118" s="17">
        <v>2.52</v>
      </c>
      <c r="G118" s="17"/>
      <c r="H118" s="47" t="s">
        <v>29</v>
      </c>
      <c r="I118" s="17">
        <f t="shared" si="55"/>
        <v>0</v>
      </c>
      <c r="J118" s="17">
        <f t="shared" si="56"/>
        <v>0</v>
      </c>
      <c r="K118" s="55"/>
      <c r="L118" s="87"/>
    </row>
    <row r="119" spans="1:12" s="81" customFormat="1" ht="63.75" outlineLevel="1" x14ac:dyDescent="0.2">
      <c r="A119" s="122" t="s">
        <v>297</v>
      </c>
      <c r="B119" s="12" t="s">
        <v>5</v>
      </c>
      <c r="C119" s="82">
        <v>103336</v>
      </c>
      <c r="D119" s="83" t="s">
        <v>855</v>
      </c>
      <c r="E119" s="84" t="s">
        <v>11</v>
      </c>
      <c r="F119" s="17">
        <v>4.1399999999999997</v>
      </c>
      <c r="G119" s="17"/>
      <c r="H119" s="47" t="s">
        <v>29</v>
      </c>
      <c r="I119" s="17">
        <f t="shared" ref="I119" si="57">TRUNC(G119*(1+HLOOKUP(H119,$F$6:$I$7,2,FALSE)),2)</f>
        <v>0</v>
      </c>
      <c r="J119" s="17">
        <f t="shared" ref="J119" si="58">TRUNC(F119*I119,2)</f>
        <v>0</v>
      </c>
      <c r="K119" s="55"/>
      <c r="L119" s="87"/>
    </row>
    <row r="120" spans="1:12" s="81" customFormat="1" ht="25.5" outlineLevel="1" x14ac:dyDescent="0.2">
      <c r="A120" s="122" t="s">
        <v>298</v>
      </c>
      <c r="B120" s="12" t="s">
        <v>5</v>
      </c>
      <c r="C120" s="82">
        <v>93205</v>
      </c>
      <c r="D120" s="83" t="s">
        <v>68</v>
      </c>
      <c r="E120" s="84" t="s">
        <v>13</v>
      </c>
      <c r="F120" s="17">
        <v>58</v>
      </c>
      <c r="G120" s="17"/>
      <c r="H120" s="47" t="s">
        <v>29</v>
      </c>
      <c r="I120" s="17">
        <f t="shared" si="55"/>
        <v>0</v>
      </c>
      <c r="J120" s="17">
        <f t="shared" si="56"/>
        <v>0</v>
      </c>
      <c r="K120" s="55"/>
      <c r="L120" s="87"/>
    </row>
    <row r="121" spans="1:12" s="81" customFormat="1" ht="25.5" outlineLevel="1" x14ac:dyDescent="0.2">
      <c r="A121" s="122" t="s">
        <v>295</v>
      </c>
      <c r="B121" s="12" t="s">
        <v>5</v>
      </c>
      <c r="C121" s="82">
        <v>93196</v>
      </c>
      <c r="D121" s="83" t="s">
        <v>255</v>
      </c>
      <c r="E121" s="84" t="s">
        <v>13</v>
      </c>
      <c r="F121" s="17">
        <v>19.8</v>
      </c>
      <c r="G121" s="17"/>
      <c r="H121" s="47" t="s">
        <v>29</v>
      </c>
      <c r="I121" s="17">
        <f t="shared" si="55"/>
        <v>0</v>
      </c>
      <c r="J121" s="17">
        <f t="shared" si="56"/>
        <v>0</v>
      </c>
      <c r="K121" s="55"/>
      <c r="L121" s="87"/>
    </row>
    <row r="122" spans="1:12" s="81" customFormat="1" ht="38.25" outlineLevel="1" x14ac:dyDescent="0.2">
      <c r="A122" s="122" t="s">
        <v>296</v>
      </c>
      <c r="B122" s="12" t="s">
        <v>5</v>
      </c>
      <c r="C122" s="82">
        <v>93190</v>
      </c>
      <c r="D122" s="83" t="s">
        <v>253</v>
      </c>
      <c r="E122" s="84" t="s">
        <v>13</v>
      </c>
      <c r="F122" s="17">
        <v>19.8</v>
      </c>
      <c r="G122" s="17"/>
      <c r="H122" s="47" t="s">
        <v>29</v>
      </c>
      <c r="I122" s="17">
        <f t="shared" ref="I122" si="59">TRUNC(G122*(1+HLOOKUP(H122,$F$6:$I$7,2,FALSE)),2)</f>
        <v>0</v>
      </c>
      <c r="J122" s="17">
        <f t="shared" ref="J122" si="60">TRUNC(F122*I122,2)</f>
        <v>0</v>
      </c>
      <c r="K122" s="55"/>
      <c r="L122" s="87"/>
    </row>
    <row r="123" spans="1:12" s="81" customFormat="1" ht="38.25" outlineLevel="1" x14ac:dyDescent="0.2">
      <c r="A123" s="122" t="s">
        <v>299</v>
      </c>
      <c r="B123" s="12" t="s">
        <v>5</v>
      </c>
      <c r="C123" s="82">
        <v>93192</v>
      </c>
      <c r="D123" s="83" t="s">
        <v>254</v>
      </c>
      <c r="E123" s="84" t="s">
        <v>13</v>
      </c>
      <c r="F123" s="17">
        <v>3.6</v>
      </c>
      <c r="G123" s="17"/>
      <c r="H123" s="47" t="s">
        <v>29</v>
      </c>
      <c r="I123" s="17">
        <f t="shared" si="55"/>
        <v>0</v>
      </c>
      <c r="J123" s="17">
        <f t="shared" si="56"/>
        <v>0</v>
      </c>
      <c r="K123" s="55"/>
      <c r="L123" s="87"/>
    </row>
    <row r="124" spans="1:12" s="81" customFormat="1" ht="38.25" outlineLevel="1" x14ac:dyDescent="0.2">
      <c r="A124" s="122" t="s">
        <v>548</v>
      </c>
      <c r="B124" s="12" t="s">
        <v>5</v>
      </c>
      <c r="C124" s="82">
        <v>93193</v>
      </c>
      <c r="D124" s="83" t="s">
        <v>256</v>
      </c>
      <c r="E124" s="84" t="s">
        <v>13</v>
      </c>
      <c r="F124" s="17">
        <v>3.8</v>
      </c>
      <c r="G124" s="17"/>
      <c r="H124" s="47" t="s">
        <v>29</v>
      </c>
      <c r="I124" s="17">
        <f t="shared" si="55"/>
        <v>0</v>
      </c>
      <c r="J124" s="17">
        <f t="shared" si="56"/>
        <v>0</v>
      </c>
      <c r="K124" s="55"/>
      <c r="L124" s="87"/>
    </row>
    <row r="125" spans="1:12" s="81" customFormat="1" ht="51" outlineLevel="1" x14ac:dyDescent="0.2">
      <c r="A125" s="122" t="s">
        <v>854</v>
      </c>
      <c r="B125" s="12" t="s">
        <v>5</v>
      </c>
      <c r="C125" s="82">
        <v>101165</v>
      </c>
      <c r="D125" s="83" t="s">
        <v>549</v>
      </c>
      <c r="E125" s="84" t="s">
        <v>14</v>
      </c>
      <c r="F125" s="17">
        <v>0.5</v>
      </c>
      <c r="G125" s="17"/>
      <c r="H125" s="47" t="s">
        <v>29</v>
      </c>
      <c r="I125" s="17">
        <f t="shared" ref="I125" si="61">TRUNC(G125*(1+HLOOKUP(H125,$F$6:$I$7,2,FALSE)),2)</f>
        <v>0</v>
      </c>
      <c r="J125" s="17">
        <f t="shared" ref="J125" si="62">TRUNC(F125*I125,2)</f>
        <v>0</v>
      </c>
      <c r="K125" s="55"/>
      <c r="L125" s="87"/>
    </row>
    <row r="126" spans="1:12" s="81" customFormat="1" ht="15.75" outlineLevel="1" x14ac:dyDescent="0.2">
      <c r="A126" s="114" t="s">
        <v>300</v>
      </c>
      <c r="B126" s="115"/>
      <c r="C126" s="116"/>
      <c r="D126" s="117" t="s">
        <v>257</v>
      </c>
      <c r="E126" s="118"/>
      <c r="F126" s="119"/>
      <c r="G126" s="119"/>
      <c r="H126" s="120"/>
      <c r="I126" s="119"/>
      <c r="J126" s="119"/>
      <c r="K126" s="121"/>
      <c r="L126" s="87"/>
    </row>
    <row r="127" spans="1:12" s="81" customFormat="1" ht="25.5" outlineLevel="1" x14ac:dyDescent="0.2">
      <c r="A127" s="122" t="s">
        <v>301</v>
      </c>
      <c r="B127" s="12" t="s">
        <v>198</v>
      </c>
      <c r="C127" s="82">
        <v>100167</v>
      </c>
      <c r="D127" s="83" t="s">
        <v>258</v>
      </c>
      <c r="E127" s="84" t="s">
        <v>11</v>
      </c>
      <c r="F127" s="17">
        <v>141.46</v>
      </c>
      <c r="G127" s="17"/>
      <c r="H127" s="47" t="s">
        <v>29</v>
      </c>
      <c r="I127" s="17">
        <f t="shared" ref="I127:I209" si="63">TRUNC(G127*(1+HLOOKUP(H127,$F$6:$I$7,2,FALSE)),2)</f>
        <v>0</v>
      </c>
      <c r="J127" s="17">
        <f t="shared" ref="J127:J209" si="64">TRUNC(F127*I127,2)</f>
        <v>0</v>
      </c>
      <c r="K127" s="55"/>
      <c r="L127" s="87"/>
    </row>
    <row r="128" spans="1:12" s="81" customFormat="1" ht="15.75" outlineLevel="1" x14ac:dyDescent="0.2">
      <c r="A128" s="114" t="s">
        <v>302</v>
      </c>
      <c r="B128" s="115"/>
      <c r="C128" s="116"/>
      <c r="D128" s="117" t="s">
        <v>259</v>
      </c>
      <c r="E128" s="118"/>
      <c r="F128" s="119"/>
      <c r="G128" s="119"/>
      <c r="H128" s="120"/>
      <c r="I128" s="119"/>
      <c r="J128" s="119"/>
      <c r="K128" s="121"/>
      <c r="L128" s="87"/>
    </row>
    <row r="129" spans="1:12" s="81" customFormat="1" ht="63.75" outlineLevel="1" x14ac:dyDescent="0.2">
      <c r="A129" s="122" t="s">
        <v>303</v>
      </c>
      <c r="B129" s="12" t="s">
        <v>5</v>
      </c>
      <c r="C129" s="82">
        <v>94559</v>
      </c>
      <c r="D129" s="83" t="s">
        <v>262</v>
      </c>
      <c r="E129" s="84" t="s">
        <v>11</v>
      </c>
      <c r="F129" s="17">
        <v>6.48</v>
      </c>
      <c r="G129" s="17"/>
      <c r="H129" s="47" t="s">
        <v>29</v>
      </c>
      <c r="I129" s="17">
        <f t="shared" si="63"/>
        <v>0</v>
      </c>
      <c r="J129" s="17">
        <f t="shared" si="64"/>
        <v>0</v>
      </c>
      <c r="K129" s="55"/>
      <c r="L129" s="87"/>
    </row>
    <row r="130" spans="1:12" s="81" customFormat="1" ht="38.25" outlineLevel="1" x14ac:dyDescent="0.2">
      <c r="A130" s="122" t="s">
        <v>304</v>
      </c>
      <c r="B130" s="12" t="s">
        <v>5</v>
      </c>
      <c r="C130" s="82">
        <v>91341</v>
      </c>
      <c r="D130" s="83" t="s">
        <v>401</v>
      </c>
      <c r="E130" s="84" t="s">
        <v>11</v>
      </c>
      <c r="F130" s="17">
        <v>5.04</v>
      </c>
      <c r="G130" s="17"/>
      <c r="H130" s="47" t="s">
        <v>29</v>
      </c>
      <c r="I130" s="17">
        <f t="shared" si="63"/>
        <v>0</v>
      </c>
      <c r="J130" s="17">
        <f t="shared" si="64"/>
        <v>0</v>
      </c>
      <c r="K130" s="55"/>
      <c r="L130" s="87"/>
    </row>
    <row r="131" spans="1:12" s="81" customFormat="1" ht="51" outlineLevel="1" x14ac:dyDescent="0.2">
      <c r="A131" s="122" t="s">
        <v>305</v>
      </c>
      <c r="B131" s="12" t="s">
        <v>5</v>
      </c>
      <c r="C131" s="82">
        <v>91304</v>
      </c>
      <c r="D131" s="83" t="s">
        <v>263</v>
      </c>
      <c r="E131" s="84" t="s">
        <v>26</v>
      </c>
      <c r="F131" s="17">
        <v>3</v>
      </c>
      <c r="G131" s="17"/>
      <c r="H131" s="47" t="s">
        <v>29</v>
      </c>
      <c r="I131" s="17">
        <f t="shared" si="63"/>
        <v>0</v>
      </c>
      <c r="J131" s="17">
        <f t="shared" si="64"/>
        <v>0</v>
      </c>
      <c r="K131" s="55"/>
      <c r="L131" s="87"/>
    </row>
    <row r="132" spans="1:12" s="81" customFormat="1" ht="25.5" outlineLevel="1" x14ac:dyDescent="0.2">
      <c r="A132" s="122" t="s">
        <v>306</v>
      </c>
      <c r="B132" s="12" t="s">
        <v>7</v>
      </c>
      <c r="C132" s="82" t="s">
        <v>274</v>
      </c>
      <c r="D132" s="83" t="s">
        <v>400</v>
      </c>
      <c r="E132" s="84" t="s">
        <v>11</v>
      </c>
      <c r="F132" s="17">
        <v>3.15</v>
      </c>
      <c r="G132" s="17"/>
      <c r="H132" s="47" t="s">
        <v>29</v>
      </c>
      <c r="I132" s="17">
        <f t="shared" ref="I132:I135" si="65">TRUNC(G132*(1+HLOOKUP(H132,$F$6:$I$7,2,FALSE)),2)</f>
        <v>0</v>
      </c>
      <c r="J132" s="17">
        <f t="shared" ref="J132:J135" si="66">TRUNC(F132*I132,2)</f>
        <v>0</v>
      </c>
      <c r="K132" s="55"/>
      <c r="L132" s="87"/>
    </row>
    <row r="133" spans="1:12" s="81" customFormat="1" ht="25.5" outlineLevel="1" x14ac:dyDescent="0.2">
      <c r="A133" s="122" t="s">
        <v>307</v>
      </c>
      <c r="B133" s="12" t="s">
        <v>7</v>
      </c>
      <c r="C133" s="82" t="s">
        <v>264</v>
      </c>
      <c r="D133" s="83" t="str">
        <f>UPPER("Fechadura com maçaneta tipo alavanca em aço inoxidável, para porta externa")</f>
        <v>FECHADURA COM MAÇANETA TIPO ALAVANCA EM AÇO INOXIDÁVEL, PARA PORTA EXTERNA</v>
      </c>
      <c r="E133" s="84" t="s">
        <v>26</v>
      </c>
      <c r="F133" s="17">
        <v>1</v>
      </c>
      <c r="G133" s="17"/>
      <c r="H133" s="47" t="s">
        <v>29</v>
      </c>
      <c r="I133" s="17">
        <f t="shared" si="65"/>
        <v>0</v>
      </c>
      <c r="J133" s="17">
        <f t="shared" si="66"/>
        <v>0</v>
      </c>
      <c r="K133" s="55"/>
      <c r="L133" s="87"/>
    </row>
    <row r="134" spans="1:12" s="81" customFormat="1" ht="25.5" outlineLevel="1" x14ac:dyDescent="0.2">
      <c r="A134" s="122" t="s">
        <v>308</v>
      </c>
      <c r="B134" s="12" t="s">
        <v>7</v>
      </c>
      <c r="C134" s="82" t="s">
        <v>265</v>
      </c>
      <c r="D134" s="83" t="s">
        <v>402</v>
      </c>
      <c r="E134" s="84" t="s">
        <v>11</v>
      </c>
      <c r="F134" s="17">
        <v>8.4</v>
      </c>
      <c r="G134" s="17"/>
      <c r="H134" s="47" t="s">
        <v>29</v>
      </c>
      <c r="I134" s="17">
        <f t="shared" si="65"/>
        <v>0</v>
      </c>
      <c r="J134" s="17">
        <f t="shared" si="66"/>
        <v>0</v>
      </c>
      <c r="K134" s="55"/>
      <c r="L134" s="87"/>
    </row>
    <row r="135" spans="1:12" s="81" customFormat="1" ht="15.75" outlineLevel="1" x14ac:dyDescent="0.2">
      <c r="A135" s="122" t="s">
        <v>309</v>
      </c>
      <c r="B135" s="12" t="s">
        <v>198</v>
      </c>
      <c r="C135" s="82">
        <v>140018</v>
      </c>
      <c r="D135" s="83" t="s">
        <v>267</v>
      </c>
      <c r="E135" s="84" t="s">
        <v>26</v>
      </c>
      <c r="F135" s="17">
        <v>1</v>
      </c>
      <c r="G135" s="17"/>
      <c r="H135" s="47" t="s">
        <v>29</v>
      </c>
      <c r="I135" s="17">
        <f t="shared" si="65"/>
        <v>0</v>
      </c>
      <c r="J135" s="17">
        <f t="shared" si="66"/>
        <v>0</v>
      </c>
      <c r="K135" s="55"/>
      <c r="L135" s="87"/>
    </row>
    <row r="136" spans="1:12" s="81" customFormat="1" ht="25.5" outlineLevel="1" x14ac:dyDescent="0.2">
      <c r="A136" s="122" t="s">
        <v>310</v>
      </c>
      <c r="B136" s="12" t="s">
        <v>5</v>
      </c>
      <c r="C136" s="82">
        <v>102163</v>
      </c>
      <c r="D136" s="83" t="s">
        <v>266</v>
      </c>
      <c r="E136" s="84" t="s">
        <v>11</v>
      </c>
      <c r="F136" s="17">
        <v>6.48</v>
      </c>
      <c r="G136" s="17"/>
      <c r="H136" s="47" t="s">
        <v>29</v>
      </c>
      <c r="I136" s="17">
        <f t="shared" si="63"/>
        <v>0</v>
      </c>
      <c r="J136" s="17">
        <f t="shared" si="64"/>
        <v>0</v>
      </c>
      <c r="K136" s="55"/>
      <c r="L136" s="87"/>
    </row>
    <row r="137" spans="1:12" s="81" customFormat="1" ht="38.25" outlineLevel="1" x14ac:dyDescent="0.2">
      <c r="A137" s="122" t="s">
        <v>554</v>
      </c>
      <c r="B137" s="12" t="s">
        <v>7</v>
      </c>
      <c r="C137" s="82" t="s">
        <v>555</v>
      </c>
      <c r="D137" s="83" t="s">
        <v>556</v>
      </c>
      <c r="E137" s="84" t="s">
        <v>11</v>
      </c>
      <c r="F137" s="17">
        <v>3.54</v>
      </c>
      <c r="G137" s="17"/>
      <c r="H137" s="47" t="s">
        <v>29</v>
      </c>
      <c r="I137" s="17">
        <f t="shared" ref="I137" si="67">TRUNC(G137*(1+HLOOKUP(H137,$F$6:$I$7,2,FALSE)),2)</f>
        <v>0</v>
      </c>
      <c r="J137" s="17">
        <f t="shared" ref="J137" si="68">TRUNC(F137*I137,2)</f>
        <v>0</v>
      </c>
      <c r="K137" s="55"/>
      <c r="L137" s="87"/>
    </row>
    <row r="138" spans="1:12" s="81" customFormat="1" ht="15.75" outlineLevel="1" x14ac:dyDescent="0.2">
      <c r="A138" s="114" t="s">
        <v>311</v>
      </c>
      <c r="B138" s="115"/>
      <c r="C138" s="116"/>
      <c r="D138" s="117" t="s">
        <v>269</v>
      </c>
      <c r="E138" s="118"/>
      <c r="F138" s="119"/>
      <c r="G138" s="119"/>
      <c r="H138" s="120"/>
      <c r="I138" s="119"/>
      <c r="J138" s="119"/>
      <c r="K138" s="121"/>
      <c r="L138" s="87"/>
    </row>
    <row r="139" spans="1:12" s="81" customFormat="1" ht="15.75" outlineLevel="1" x14ac:dyDescent="0.2">
      <c r="A139" s="122"/>
      <c r="B139" s="12"/>
      <c r="C139" s="82"/>
      <c r="D139" s="123" t="s">
        <v>330</v>
      </c>
      <c r="E139" s="84"/>
      <c r="F139" s="17"/>
      <c r="G139" s="17"/>
      <c r="H139" s="47"/>
      <c r="I139" s="17"/>
      <c r="J139" s="17"/>
      <c r="K139" s="55"/>
      <c r="L139" s="87"/>
    </row>
    <row r="140" spans="1:12" s="81" customFormat="1" ht="51" outlineLevel="1" x14ac:dyDescent="0.2">
      <c r="A140" s="122" t="s">
        <v>312</v>
      </c>
      <c r="B140" s="12" t="s">
        <v>5</v>
      </c>
      <c r="C140" s="82">
        <v>97741</v>
      </c>
      <c r="D140" s="83" t="s">
        <v>331</v>
      </c>
      <c r="E140" s="84" t="s">
        <v>26</v>
      </c>
      <c r="F140" s="17">
        <v>1</v>
      </c>
      <c r="G140" s="17"/>
      <c r="H140" s="47" t="s">
        <v>29</v>
      </c>
      <c r="I140" s="17">
        <f t="shared" ref="I140:I151" si="69">TRUNC(G140*(1+HLOOKUP(H140,$F$6:$I$7,2,FALSE)),2)</f>
        <v>0</v>
      </c>
      <c r="J140" s="17">
        <f t="shared" ref="J140:J151" si="70">TRUNC(F140*I140,2)</f>
        <v>0</v>
      </c>
      <c r="K140" s="55"/>
      <c r="L140" s="87"/>
    </row>
    <row r="141" spans="1:12" s="81" customFormat="1" ht="38.25" outlineLevel="1" x14ac:dyDescent="0.2">
      <c r="A141" s="122" t="s">
        <v>336</v>
      </c>
      <c r="B141" s="12" t="s">
        <v>7</v>
      </c>
      <c r="C141" s="82" t="s">
        <v>332</v>
      </c>
      <c r="D141" s="83" t="s">
        <v>335</v>
      </c>
      <c r="E141" s="84" t="s">
        <v>13</v>
      </c>
      <c r="F141" s="17">
        <v>36</v>
      </c>
      <c r="G141" s="17"/>
      <c r="H141" s="47" t="s">
        <v>29</v>
      </c>
      <c r="I141" s="17">
        <f t="shared" ref="I141:I149" si="71">TRUNC(G141*(1+HLOOKUP(H141,$F$6:$I$7,2,FALSE)),2)</f>
        <v>0</v>
      </c>
      <c r="J141" s="17">
        <f t="shared" ref="J141:J149" si="72">TRUNC(F141*I141,2)</f>
        <v>0</v>
      </c>
      <c r="K141" s="55"/>
      <c r="L141" s="87"/>
    </row>
    <row r="142" spans="1:12" s="81" customFormat="1" ht="38.25" outlineLevel="1" x14ac:dyDescent="0.2">
      <c r="A142" s="122" t="s">
        <v>337</v>
      </c>
      <c r="B142" s="12" t="s">
        <v>7</v>
      </c>
      <c r="C142" s="82" t="s">
        <v>333</v>
      </c>
      <c r="D142" s="83" t="s">
        <v>334</v>
      </c>
      <c r="E142" s="84" t="s">
        <v>13</v>
      </c>
      <c r="F142" s="17">
        <v>6</v>
      </c>
      <c r="G142" s="17"/>
      <c r="H142" s="47" t="s">
        <v>29</v>
      </c>
      <c r="I142" s="17">
        <f t="shared" si="71"/>
        <v>0</v>
      </c>
      <c r="J142" s="17">
        <f t="shared" si="72"/>
        <v>0</v>
      </c>
      <c r="K142" s="55"/>
      <c r="L142" s="87"/>
    </row>
    <row r="143" spans="1:12" s="81" customFormat="1" ht="38.25" outlineLevel="1" x14ac:dyDescent="0.2">
      <c r="A143" s="122" t="s">
        <v>343</v>
      </c>
      <c r="B143" s="12" t="s">
        <v>5</v>
      </c>
      <c r="C143" s="82">
        <v>102622</v>
      </c>
      <c r="D143" s="83" t="s">
        <v>338</v>
      </c>
      <c r="E143" s="84" t="s">
        <v>26</v>
      </c>
      <c r="F143" s="17">
        <v>1</v>
      </c>
      <c r="G143" s="17"/>
      <c r="H143" s="47" t="s">
        <v>29</v>
      </c>
      <c r="I143" s="17">
        <f t="shared" si="71"/>
        <v>0</v>
      </c>
      <c r="J143" s="17">
        <f t="shared" si="72"/>
        <v>0</v>
      </c>
      <c r="K143" s="55"/>
      <c r="L143" s="87"/>
    </row>
    <row r="144" spans="1:12" s="81" customFormat="1" ht="25.5" outlineLevel="1" x14ac:dyDescent="0.2">
      <c r="A144" s="122" t="s">
        <v>344</v>
      </c>
      <c r="B144" s="12" t="s">
        <v>5</v>
      </c>
      <c r="C144" s="82">
        <v>103042</v>
      </c>
      <c r="D144" s="83" t="s">
        <v>341</v>
      </c>
      <c r="E144" s="84" t="s">
        <v>26</v>
      </c>
      <c r="F144" s="17">
        <v>1</v>
      </c>
      <c r="G144" s="17"/>
      <c r="H144" s="47" t="s">
        <v>29</v>
      </c>
      <c r="I144" s="17">
        <f t="shared" si="71"/>
        <v>0</v>
      </c>
      <c r="J144" s="17">
        <f t="shared" si="72"/>
        <v>0</v>
      </c>
      <c r="K144" s="55"/>
      <c r="L144" s="87"/>
    </row>
    <row r="145" spans="1:12" s="81" customFormat="1" ht="25.5" outlineLevel="1" x14ac:dyDescent="0.2">
      <c r="A145" s="122" t="s">
        <v>345</v>
      </c>
      <c r="B145" s="12" t="s">
        <v>5</v>
      </c>
      <c r="C145" s="82">
        <v>103037</v>
      </c>
      <c r="D145" s="83" t="s">
        <v>404</v>
      </c>
      <c r="E145" s="84" t="s">
        <v>26</v>
      </c>
      <c r="F145" s="17">
        <v>1</v>
      </c>
      <c r="G145" s="17"/>
      <c r="H145" s="47" t="s">
        <v>29</v>
      </c>
      <c r="I145" s="17">
        <f t="shared" ref="I145" si="73">TRUNC(G145*(1+HLOOKUP(H145,$F$6:$I$7,2,FALSE)),2)</f>
        <v>0</v>
      </c>
      <c r="J145" s="17">
        <f t="shared" ref="J145" si="74">TRUNC(F145*I145,2)</f>
        <v>0</v>
      </c>
      <c r="K145" s="55"/>
      <c r="L145" s="87"/>
    </row>
    <row r="146" spans="1:12" s="81" customFormat="1" ht="25.5" outlineLevel="1" x14ac:dyDescent="0.2">
      <c r="A146" s="122" t="s">
        <v>346</v>
      </c>
      <c r="B146" s="12" t="s">
        <v>5</v>
      </c>
      <c r="C146" s="82">
        <v>89353</v>
      </c>
      <c r="D146" s="83" t="s">
        <v>339</v>
      </c>
      <c r="E146" s="84" t="s">
        <v>26</v>
      </c>
      <c r="F146" s="17">
        <v>3</v>
      </c>
      <c r="G146" s="17"/>
      <c r="H146" s="47" t="s">
        <v>29</v>
      </c>
      <c r="I146" s="17">
        <f t="shared" si="71"/>
        <v>0</v>
      </c>
      <c r="J146" s="17">
        <f t="shared" si="72"/>
        <v>0</v>
      </c>
      <c r="K146" s="55"/>
      <c r="L146" s="87"/>
    </row>
    <row r="147" spans="1:12" s="81" customFormat="1" ht="51" outlineLevel="1" x14ac:dyDescent="0.2">
      <c r="A147" s="122" t="s">
        <v>349</v>
      </c>
      <c r="B147" s="12" t="s">
        <v>5</v>
      </c>
      <c r="C147" s="82">
        <v>89970</v>
      </c>
      <c r="D147" s="83" t="s">
        <v>340</v>
      </c>
      <c r="E147" s="84" t="s">
        <v>26</v>
      </c>
      <c r="F147" s="17">
        <v>1</v>
      </c>
      <c r="G147" s="17"/>
      <c r="H147" s="47" t="s">
        <v>29</v>
      </c>
      <c r="I147" s="17">
        <f t="shared" si="71"/>
        <v>0</v>
      </c>
      <c r="J147" s="17">
        <f t="shared" si="72"/>
        <v>0</v>
      </c>
      <c r="K147" s="55"/>
      <c r="L147" s="87"/>
    </row>
    <row r="148" spans="1:12" s="81" customFormat="1" ht="15.75" outlineLevel="1" x14ac:dyDescent="0.2">
      <c r="A148" s="122"/>
      <c r="B148" s="12"/>
      <c r="C148" s="82"/>
      <c r="D148" s="123" t="s">
        <v>342</v>
      </c>
      <c r="E148" s="84"/>
      <c r="F148" s="17"/>
      <c r="G148" s="17"/>
      <c r="H148" s="47"/>
      <c r="I148" s="17"/>
      <c r="J148" s="17"/>
      <c r="K148" s="55"/>
      <c r="L148" s="87"/>
    </row>
    <row r="149" spans="1:12" s="81" customFormat="1" ht="38.25" outlineLevel="1" x14ac:dyDescent="0.2">
      <c r="A149" s="122" t="s">
        <v>350</v>
      </c>
      <c r="B149" s="12" t="s">
        <v>5</v>
      </c>
      <c r="C149" s="82">
        <v>89714</v>
      </c>
      <c r="D149" s="83" t="s">
        <v>347</v>
      </c>
      <c r="E149" s="84" t="s">
        <v>13</v>
      </c>
      <c r="F149" s="17">
        <v>14</v>
      </c>
      <c r="G149" s="17"/>
      <c r="H149" s="47" t="s">
        <v>29</v>
      </c>
      <c r="I149" s="17">
        <f t="shared" si="71"/>
        <v>0</v>
      </c>
      <c r="J149" s="17">
        <f t="shared" si="72"/>
        <v>0</v>
      </c>
      <c r="K149" s="55"/>
      <c r="L149" s="87"/>
    </row>
    <row r="150" spans="1:12" s="81" customFormat="1" ht="38.25" outlineLevel="1" x14ac:dyDescent="0.2">
      <c r="A150" s="122" t="s">
        <v>362</v>
      </c>
      <c r="B150" s="12" t="s">
        <v>5</v>
      </c>
      <c r="C150" s="82">
        <v>89713</v>
      </c>
      <c r="D150" s="83" t="s">
        <v>348</v>
      </c>
      <c r="E150" s="84" t="s">
        <v>13</v>
      </c>
      <c r="F150" s="17">
        <v>9.8000000000000007</v>
      </c>
      <c r="G150" s="17"/>
      <c r="H150" s="47" t="s">
        <v>29</v>
      </c>
      <c r="I150" s="17">
        <f t="shared" si="69"/>
        <v>0</v>
      </c>
      <c r="J150" s="17">
        <f t="shared" si="70"/>
        <v>0</v>
      </c>
      <c r="K150" s="55"/>
      <c r="L150" s="87"/>
    </row>
    <row r="151" spans="1:12" s="81" customFormat="1" ht="38.25" outlineLevel="1" x14ac:dyDescent="0.2">
      <c r="A151" s="122" t="s">
        <v>363</v>
      </c>
      <c r="B151" s="12" t="s">
        <v>5</v>
      </c>
      <c r="C151" s="82">
        <v>89711</v>
      </c>
      <c r="D151" s="83" t="s">
        <v>351</v>
      </c>
      <c r="E151" s="84" t="s">
        <v>13</v>
      </c>
      <c r="F151" s="17">
        <v>6</v>
      </c>
      <c r="G151" s="17"/>
      <c r="H151" s="47" t="s">
        <v>29</v>
      </c>
      <c r="I151" s="17">
        <f t="shared" si="69"/>
        <v>0</v>
      </c>
      <c r="J151" s="17">
        <f t="shared" si="70"/>
        <v>0</v>
      </c>
      <c r="K151" s="55"/>
      <c r="L151" s="87"/>
    </row>
    <row r="152" spans="1:12" s="81" customFormat="1" ht="38.25" outlineLevel="1" x14ac:dyDescent="0.2">
      <c r="A152" s="122" t="s">
        <v>364</v>
      </c>
      <c r="B152" s="12" t="s">
        <v>5</v>
      </c>
      <c r="C152" s="82">
        <v>89710</v>
      </c>
      <c r="D152" s="83" t="s">
        <v>352</v>
      </c>
      <c r="E152" s="84" t="s">
        <v>26</v>
      </c>
      <c r="F152" s="17">
        <v>1</v>
      </c>
      <c r="G152" s="17"/>
      <c r="H152" s="47" t="s">
        <v>29</v>
      </c>
      <c r="I152" s="17">
        <f t="shared" ref="I152:I158" si="75">TRUNC(G152*(1+HLOOKUP(H152,$F$6:$I$7,2,FALSE)),2)</f>
        <v>0</v>
      </c>
      <c r="J152" s="17">
        <f t="shared" ref="J152:J158" si="76">TRUNC(F152*I152,2)</f>
        <v>0</v>
      </c>
      <c r="K152" s="55"/>
      <c r="L152" s="87"/>
    </row>
    <row r="153" spans="1:12" s="81" customFormat="1" ht="51" outlineLevel="1" x14ac:dyDescent="0.2">
      <c r="A153" s="122" t="s">
        <v>365</v>
      </c>
      <c r="B153" s="12" t="s">
        <v>5</v>
      </c>
      <c r="C153" s="82">
        <v>89708</v>
      </c>
      <c r="D153" s="83" t="s">
        <v>353</v>
      </c>
      <c r="E153" s="84" t="s">
        <v>26</v>
      </c>
      <c r="F153" s="17">
        <v>3</v>
      </c>
      <c r="G153" s="17"/>
      <c r="H153" s="47" t="s">
        <v>29</v>
      </c>
      <c r="I153" s="17">
        <f t="shared" si="75"/>
        <v>0</v>
      </c>
      <c r="J153" s="17">
        <f t="shared" si="76"/>
        <v>0</v>
      </c>
      <c r="K153" s="55"/>
      <c r="L153" s="87"/>
    </row>
    <row r="154" spans="1:12" s="81" customFormat="1" ht="51" outlineLevel="1" x14ac:dyDescent="0.2">
      <c r="A154" s="122" t="s">
        <v>366</v>
      </c>
      <c r="B154" s="12" t="s">
        <v>5</v>
      </c>
      <c r="C154" s="82">
        <v>89748</v>
      </c>
      <c r="D154" s="83" t="s">
        <v>357</v>
      </c>
      <c r="E154" s="84" t="s">
        <v>26</v>
      </c>
      <c r="F154" s="17">
        <v>1</v>
      </c>
      <c r="G154" s="17"/>
      <c r="H154" s="47" t="s">
        <v>29</v>
      </c>
      <c r="I154" s="17">
        <f t="shared" si="75"/>
        <v>0</v>
      </c>
      <c r="J154" s="17">
        <f t="shared" si="76"/>
        <v>0</v>
      </c>
      <c r="K154" s="55"/>
      <c r="L154" s="87"/>
    </row>
    <row r="155" spans="1:12" s="81" customFormat="1" ht="51" outlineLevel="1" x14ac:dyDescent="0.2">
      <c r="A155" s="122" t="s">
        <v>367</v>
      </c>
      <c r="B155" s="12" t="s">
        <v>5</v>
      </c>
      <c r="C155" s="82">
        <v>89728</v>
      </c>
      <c r="D155" s="83" t="s">
        <v>358</v>
      </c>
      <c r="E155" s="84" t="s">
        <v>26</v>
      </c>
      <c r="F155" s="17">
        <v>4</v>
      </c>
      <c r="G155" s="17"/>
      <c r="H155" s="47" t="s">
        <v>29</v>
      </c>
      <c r="I155" s="17">
        <f t="shared" si="75"/>
        <v>0</v>
      </c>
      <c r="J155" s="17">
        <f t="shared" si="76"/>
        <v>0</v>
      </c>
      <c r="K155" s="55"/>
      <c r="L155" s="87"/>
    </row>
    <row r="156" spans="1:12" s="81" customFormat="1" ht="51" outlineLevel="1" x14ac:dyDescent="0.2">
      <c r="A156" s="122" t="s">
        <v>368</v>
      </c>
      <c r="B156" s="12" t="s">
        <v>5</v>
      </c>
      <c r="C156" s="82">
        <v>89739</v>
      </c>
      <c r="D156" s="83" t="s">
        <v>360</v>
      </c>
      <c r="E156" s="84" t="s">
        <v>26</v>
      </c>
      <c r="F156" s="17">
        <v>3</v>
      </c>
      <c r="G156" s="17"/>
      <c r="H156" s="47" t="s">
        <v>29</v>
      </c>
      <c r="I156" s="17">
        <f t="shared" ref="I156:I157" si="77">TRUNC(G156*(1+HLOOKUP(H156,$F$6:$I$7,2,FALSE)),2)</f>
        <v>0</v>
      </c>
      <c r="J156" s="17">
        <f t="shared" ref="J156:J157" si="78">TRUNC(F156*I156,2)</f>
        <v>0</v>
      </c>
      <c r="K156" s="55"/>
      <c r="L156" s="87"/>
    </row>
    <row r="157" spans="1:12" s="81" customFormat="1" ht="51" outlineLevel="1" x14ac:dyDescent="0.2">
      <c r="A157" s="122" t="s">
        <v>369</v>
      </c>
      <c r="B157" s="12" t="s">
        <v>5</v>
      </c>
      <c r="C157" s="82">
        <v>104347</v>
      </c>
      <c r="D157" s="83" t="s">
        <v>356</v>
      </c>
      <c r="E157" s="84" t="s">
        <v>26</v>
      </c>
      <c r="F157" s="17">
        <v>3</v>
      </c>
      <c r="G157" s="17"/>
      <c r="H157" s="47" t="s">
        <v>29</v>
      </c>
      <c r="I157" s="17">
        <f t="shared" si="77"/>
        <v>0</v>
      </c>
      <c r="J157" s="17">
        <f t="shared" si="78"/>
        <v>0</v>
      </c>
      <c r="K157" s="55"/>
      <c r="L157" s="87"/>
    </row>
    <row r="158" spans="1:12" s="81" customFormat="1" ht="51" outlineLevel="1" x14ac:dyDescent="0.2">
      <c r="A158" s="122" t="s">
        <v>370</v>
      </c>
      <c r="B158" s="12" t="s">
        <v>5</v>
      </c>
      <c r="C158" s="82">
        <v>104352</v>
      </c>
      <c r="D158" s="83" t="s">
        <v>359</v>
      </c>
      <c r="E158" s="84" t="s">
        <v>26</v>
      </c>
      <c r="F158" s="17">
        <v>1</v>
      </c>
      <c r="G158" s="17"/>
      <c r="H158" s="47" t="s">
        <v>29</v>
      </c>
      <c r="I158" s="17">
        <f t="shared" si="75"/>
        <v>0</v>
      </c>
      <c r="J158" s="17">
        <f t="shared" si="76"/>
        <v>0</v>
      </c>
      <c r="K158" s="55"/>
      <c r="L158" s="87"/>
    </row>
    <row r="159" spans="1:12" s="81" customFormat="1" ht="38.25" outlineLevel="1" x14ac:dyDescent="0.2">
      <c r="A159" s="122" t="s">
        <v>371</v>
      </c>
      <c r="B159" s="12" t="s">
        <v>5</v>
      </c>
      <c r="C159" s="82">
        <v>89798</v>
      </c>
      <c r="D159" s="83" t="s">
        <v>354</v>
      </c>
      <c r="E159" s="84" t="s">
        <v>13</v>
      </c>
      <c r="F159" s="17">
        <v>6</v>
      </c>
      <c r="G159" s="17"/>
      <c r="H159" s="47" t="s">
        <v>29</v>
      </c>
      <c r="I159" s="17">
        <f t="shared" ref="I159:I160" si="79">TRUNC(G159*(1+HLOOKUP(H159,$F$6:$I$7,2,FALSE)),2)</f>
        <v>0</v>
      </c>
      <c r="J159" s="17">
        <f t="shared" ref="J159:J160" si="80">TRUNC(F159*I159,2)</f>
        <v>0</v>
      </c>
      <c r="K159" s="55"/>
      <c r="L159" s="87"/>
    </row>
    <row r="160" spans="1:12" s="81" customFormat="1" ht="51" outlineLevel="1" x14ac:dyDescent="0.2">
      <c r="A160" s="122" t="s">
        <v>372</v>
      </c>
      <c r="B160" s="12" t="s">
        <v>5</v>
      </c>
      <c r="C160" s="82">
        <v>104348</v>
      </c>
      <c r="D160" s="83" t="s">
        <v>355</v>
      </c>
      <c r="E160" s="84" t="s">
        <v>26</v>
      </c>
      <c r="F160" s="17">
        <v>1</v>
      </c>
      <c r="G160" s="17"/>
      <c r="H160" s="47" t="s">
        <v>29</v>
      </c>
      <c r="I160" s="17">
        <f t="shared" si="79"/>
        <v>0</v>
      </c>
      <c r="J160" s="17">
        <f t="shared" si="80"/>
        <v>0</v>
      </c>
      <c r="K160" s="55"/>
      <c r="L160" s="87"/>
    </row>
    <row r="161" spans="1:12" s="81" customFormat="1" ht="51" outlineLevel="1" x14ac:dyDescent="0.2">
      <c r="A161" s="122" t="s">
        <v>373</v>
      </c>
      <c r="B161" s="12" t="s">
        <v>5</v>
      </c>
      <c r="C161" s="82">
        <v>97906</v>
      </c>
      <c r="D161" s="83" t="s">
        <v>361</v>
      </c>
      <c r="E161" s="84" t="s">
        <v>26</v>
      </c>
      <c r="F161" s="17">
        <v>2</v>
      </c>
      <c r="G161" s="17"/>
      <c r="H161" s="47" t="s">
        <v>29</v>
      </c>
      <c r="I161" s="17">
        <f t="shared" ref="I161:I162" si="81">TRUNC(G161*(1+HLOOKUP(H161,$F$6:$I$7,2,FALSE)),2)</f>
        <v>0</v>
      </c>
      <c r="J161" s="17">
        <f t="shared" ref="J161:J162" si="82">TRUNC(F161*I161,2)</f>
        <v>0</v>
      </c>
      <c r="K161" s="55"/>
      <c r="L161" s="87"/>
    </row>
    <row r="162" spans="1:12" s="81" customFormat="1" ht="25.5" outlineLevel="1" x14ac:dyDescent="0.2">
      <c r="A162" s="122" t="s">
        <v>403</v>
      </c>
      <c r="B162" s="12" t="s">
        <v>105</v>
      </c>
      <c r="C162" s="82" t="s">
        <v>374</v>
      </c>
      <c r="D162" s="83" t="s">
        <v>375</v>
      </c>
      <c r="E162" s="84" t="s">
        <v>26</v>
      </c>
      <c r="F162" s="17">
        <v>1</v>
      </c>
      <c r="G162" s="17"/>
      <c r="H162" s="47" t="s">
        <v>29</v>
      </c>
      <c r="I162" s="17">
        <f t="shared" si="81"/>
        <v>0</v>
      </c>
      <c r="J162" s="17">
        <f t="shared" si="82"/>
        <v>0</v>
      </c>
      <c r="K162" s="55"/>
      <c r="L162" s="87"/>
    </row>
    <row r="163" spans="1:12" s="81" customFormat="1" ht="15.75" outlineLevel="1" x14ac:dyDescent="0.2">
      <c r="A163" s="114" t="s">
        <v>313</v>
      </c>
      <c r="B163" s="115"/>
      <c r="C163" s="116"/>
      <c r="D163" s="117" t="s">
        <v>849</v>
      </c>
      <c r="E163" s="118"/>
      <c r="F163" s="119"/>
      <c r="G163" s="119"/>
      <c r="H163" s="120"/>
      <c r="I163" s="119"/>
      <c r="J163" s="119"/>
      <c r="K163" s="121"/>
      <c r="L163" s="87"/>
    </row>
    <row r="164" spans="1:12" s="81" customFormat="1" ht="15.75" outlineLevel="1" x14ac:dyDescent="0.2">
      <c r="A164" s="122"/>
      <c r="B164" s="12"/>
      <c r="C164" s="82"/>
      <c r="D164" s="129" t="s">
        <v>559</v>
      </c>
      <c r="E164" s="84"/>
      <c r="F164" s="17"/>
      <c r="G164" s="17"/>
      <c r="H164" s="47"/>
      <c r="I164" s="17"/>
      <c r="J164" s="17"/>
      <c r="K164" s="55"/>
      <c r="L164" s="87"/>
    </row>
    <row r="165" spans="1:12" s="81" customFormat="1" ht="25.5" outlineLevel="1" x14ac:dyDescent="0.2">
      <c r="A165" s="122" t="s">
        <v>314</v>
      </c>
      <c r="B165" s="12" t="s">
        <v>7</v>
      </c>
      <c r="C165" s="82" t="s">
        <v>560</v>
      </c>
      <c r="D165" s="83" t="s">
        <v>563</v>
      </c>
      <c r="E165" s="84" t="s">
        <v>13</v>
      </c>
      <c r="F165" s="17">
        <v>9.8000000000000007</v>
      </c>
      <c r="G165" s="17"/>
      <c r="H165" s="47" t="s">
        <v>29</v>
      </c>
      <c r="I165" s="17">
        <f t="shared" ref="I165:I169" si="83">TRUNC(G165*(1+HLOOKUP(H165,$F$6:$I$7,2,FALSE)),2)</f>
        <v>0</v>
      </c>
      <c r="J165" s="17">
        <f t="shared" ref="J165:J169" si="84">TRUNC(F165*I165,2)</f>
        <v>0</v>
      </c>
      <c r="K165" s="55"/>
      <c r="L165" s="87"/>
    </row>
    <row r="166" spans="1:12" s="81" customFormat="1" ht="25.5" outlineLevel="1" x14ac:dyDescent="0.2">
      <c r="A166" s="122" t="s">
        <v>478</v>
      </c>
      <c r="B166" s="12" t="s">
        <v>7</v>
      </c>
      <c r="C166" s="82" t="s">
        <v>561</v>
      </c>
      <c r="D166" s="83" t="s">
        <v>564</v>
      </c>
      <c r="E166" s="84" t="s">
        <v>13</v>
      </c>
      <c r="F166" s="17">
        <v>6</v>
      </c>
      <c r="G166" s="17"/>
      <c r="H166" s="47" t="s">
        <v>29</v>
      </c>
      <c r="I166" s="17">
        <f t="shared" si="83"/>
        <v>0</v>
      </c>
      <c r="J166" s="17">
        <f t="shared" si="84"/>
        <v>0</v>
      </c>
      <c r="K166" s="55"/>
      <c r="L166" s="87"/>
    </row>
    <row r="167" spans="1:12" s="81" customFormat="1" ht="38.25" outlineLevel="1" x14ac:dyDescent="0.2">
      <c r="A167" s="122" t="s">
        <v>567</v>
      </c>
      <c r="B167" s="12" t="s">
        <v>7</v>
      </c>
      <c r="C167" s="82" t="s">
        <v>569</v>
      </c>
      <c r="D167" s="83" t="s">
        <v>570</v>
      </c>
      <c r="E167" s="84" t="s">
        <v>13</v>
      </c>
      <c r="F167" s="17">
        <v>17.2</v>
      </c>
      <c r="G167" s="17"/>
      <c r="H167" s="47" t="s">
        <v>29</v>
      </c>
      <c r="I167" s="17">
        <f t="shared" ref="I167" si="85">TRUNC(G167*(1+HLOOKUP(H167,$F$6:$I$7,2,FALSE)),2)</f>
        <v>0</v>
      </c>
      <c r="J167" s="17">
        <f t="shared" ref="J167" si="86">TRUNC(F167*I167,2)</f>
        <v>0</v>
      </c>
      <c r="K167" s="55"/>
      <c r="L167" s="87"/>
    </row>
    <row r="168" spans="1:12" s="81" customFormat="1" ht="25.5" outlineLevel="1" x14ac:dyDescent="0.2">
      <c r="A168" s="122" t="s">
        <v>568</v>
      </c>
      <c r="B168" s="12" t="s">
        <v>7</v>
      </c>
      <c r="C168" s="82" t="s">
        <v>557</v>
      </c>
      <c r="D168" s="83" t="s">
        <v>577</v>
      </c>
      <c r="E168" s="84" t="s">
        <v>13</v>
      </c>
      <c r="F168" s="17">
        <v>60</v>
      </c>
      <c r="G168" s="17"/>
      <c r="H168" s="47" t="s">
        <v>29</v>
      </c>
      <c r="I168" s="17">
        <f t="shared" si="83"/>
        <v>0</v>
      </c>
      <c r="J168" s="17">
        <f t="shared" si="84"/>
        <v>0</v>
      </c>
      <c r="K168" s="55"/>
      <c r="L168" s="87"/>
    </row>
    <row r="169" spans="1:12" s="81" customFormat="1" ht="25.5" outlineLevel="1" x14ac:dyDescent="0.2">
      <c r="A169" s="122" t="s">
        <v>571</v>
      </c>
      <c r="B169" s="12" t="s">
        <v>7</v>
      </c>
      <c r="C169" s="82" t="s">
        <v>562</v>
      </c>
      <c r="D169" s="83" t="s">
        <v>565</v>
      </c>
      <c r="E169" s="84" t="s">
        <v>13</v>
      </c>
      <c r="F169" s="17">
        <v>16</v>
      </c>
      <c r="G169" s="17"/>
      <c r="H169" s="47" t="s">
        <v>29</v>
      </c>
      <c r="I169" s="17">
        <f t="shared" si="83"/>
        <v>0</v>
      </c>
      <c r="J169" s="17">
        <f t="shared" si="84"/>
        <v>0</v>
      </c>
      <c r="K169" s="55"/>
      <c r="L169" s="87"/>
    </row>
    <row r="170" spans="1:12" s="81" customFormat="1" ht="15.75" outlineLevel="1" x14ac:dyDescent="0.2">
      <c r="A170" s="122"/>
      <c r="B170" s="12"/>
      <c r="C170" s="82"/>
      <c r="D170" s="129" t="s">
        <v>566</v>
      </c>
      <c r="E170" s="84"/>
      <c r="F170" s="17"/>
      <c r="G170" s="17"/>
      <c r="H170" s="47"/>
      <c r="I170" s="17"/>
      <c r="J170" s="17"/>
      <c r="K170" s="55"/>
      <c r="L170" s="87"/>
    </row>
    <row r="171" spans="1:12" s="81" customFormat="1" ht="51" outlineLevel="1" x14ac:dyDescent="0.2">
      <c r="A171" s="122" t="s">
        <v>572</v>
      </c>
      <c r="B171" s="12" t="s">
        <v>5</v>
      </c>
      <c r="C171" s="82">
        <v>101878</v>
      </c>
      <c r="D171" s="83" t="s">
        <v>576</v>
      </c>
      <c r="E171" s="84" t="s">
        <v>26</v>
      </c>
      <c r="F171" s="17">
        <v>1</v>
      </c>
      <c r="G171" s="17"/>
      <c r="H171" s="47" t="s">
        <v>29</v>
      </c>
      <c r="I171" s="17">
        <f t="shared" ref="I171:I175" si="87">TRUNC(G171*(1+HLOOKUP(H171,$F$6:$I$7,2,FALSE)),2)</f>
        <v>0</v>
      </c>
      <c r="J171" s="17">
        <f t="shared" ref="J171:J175" si="88">TRUNC(F171*I171,2)</f>
        <v>0</v>
      </c>
      <c r="K171" s="55"/>
      <c r="L171" s="87"/>
    </row>
    <row r="172" spans="1:12" s="81" customFormat="1" ht="25.5" outlineLevel="1" x14ac:dyDescent="0.2">
      <c r="A172" s="122" t="s">
        <v>573</v>
      </c>
      <c r="B172" s="12" t="s">
        <v>5</v>
      </c>
      <c r="C172" s="82">
        <v>101894</v>
      </c>
      <c r="D172" s="83" t="s">
        <v>386</v>
      </c>
      <c r="E172" s="84" t="s">
        <v>26</v>
      </c>
      <c r="F172" s="17">
        <v>1</v>
      </c>
      <c r="G172" s="17"/>
      <c r="H172" s="47" t="s">
        <v>29</v>
      </c>
      <c r="I172" s="17">
        <f t="shared" si="87"/>
        <v>0</v>
      </c>
      <c r="J172" s="17">
        <f t="shared" si="88"/>
        <v>0</v>
      </c>
      <c r="K172" s="55"/>
      <c r="L172" s="87"/>
    </row>
    <row r="173" spans="1:12" s="81" customFormat="1" ht="25.5" outlineLevel="1" x14ac:dyDescent="0.2">
      <c r="A173" s="122" t="s">
        <v>574</v>
      </c>
      <c r="B173" s="12" t="s">
        <v>7</v>
      </c>
      <c r="C173" s="82" t="s">
        <v>389</v>
      </c>
      <c r="D173" s="83" t="str">
        <f>UPPER("Dispositivo diferencial residual de 63 A x 30 mA - 4 polos")</f>
        <v>DISPOSITIVO DIFERENCIAL RESIDUAL DE 63 A X 30 MA - 4 POLOS</v>
      </c>
      <c r="E173" s="84" t="s">
        <v>26</v>
      </c>
      <c r="F173" s="17">
        <v>1</v>
      </c>
      <c r="G173" s="17"/>
      <c r="H173" s="47" t="s">
        <v>29</v>
      </c>
      <c r="I173" s="17">
        <f t="shared" ref="I173" si="89">TRUNC(G173*(1+HLOOKUP(H173,$F$6:$I$7,2,FALSE)),2)</f>
        <v>0</v>
      </c>
      <c r="J173" s="17">
        <f t="shared" ref="J173" si="90">TRUNC(F173*I173,2)</f>
        <v>0</v>
      </c>
      <c r="K173" s="55"/>
      <c r="L173" s="87"/>
    </row>
    <row r="174" spans="1:12" s="81" customFormat="1" ht="38.25" outlineLevel="1" x14ac:dyDescent="0.2">
      <c r="A174" s="122" t="s">
        <v>575</v>
      </c>
      <c r="B174" s="12" t="s">
        <v>5</v>
      </c>
      <c r="C174" s="82">
        <v>93664</v>
      </c>
      <c r="D174" s="83" t="s">
        <v>385</v>
      </c>
      <c r="E174" s="84" t="s">
        <v>26</v>
      </c>
      <c r="F174" s="17">
        <v>1</v>
      </c>
      <c r="G174" s="17"/>
      <c r="H174" s="47" t="s">
        <v>29</v>
      </c>
      <c r="I174" s="17">
        <f t="shared" si="87"/>
        <v>0</v>
      </c>
      <c r="J174" s="17">
        <f t="shared" si="88"/>
        <v>0</v>
      </c>
      <c r="K174" s="55"/>
      <c r="L174" s="87"/>
    </row>
    <row r="175" spans="1:12" s="81" customFormat="1" ht="38.25" outlineLevel="1" x14ac:dyDescent="0.2">
      <c r="A175" s="122" t="s">
        <v>580</v>
      </c>
      <c r="B175" s="12" t="s">
        <v>5</v>
      </c>
      <c r="C175" s="82">
        <v>93653</v>
      </c>
      <c r="D175" s="83" t="s">
        <v>578</v>
      </c>
      <c r="E175" s="84" t="s">
        <v>26</v>
      </c>
      <c r="F175" s="17">
        <v>1</v>
      </c>
      <c r="G175" s="17"/>
      <c r="H175" s="47" t="s">
        <v>29</v>
      </c>
      <c r="I175" s="17">
        <f t="shared" si="87"/>
        <v>0</v>
      </c>
      <c r="J175" s="17">
        <f t="shared" si="88"/>
        <v>0</v>
      </c>
      <c r="K175" s="55"/>
      <c r="L175" s="87"/>
    </row>
    <row r="176" spans="1:12" s="81" customFormat="1" ht="38.25" outlineLevel="1" x14ac:dyDescent="0.2">
      <c r="A176" s="122" t="s">
        <v>581</v>
      </c>
      <c r="B176" s="12" t="s">
        <v>5</v>
      </c>
      <c r="C176" s="82">
        <v>93654</v>
      </c>
      <c r="D176" s="83" t="s">
        <v>851</v>
      </c>
      <c r="E176" s="84" t="s">
        <v>26</v>
      </c>
      <c r="F176" s="17">
        <v>1</v>
      </c>
      <c r="G176" s="17"/>
      <c r="H176" s="47" t="s">
        <v>29</v>
      </c>
      <c r="I176" s="17">
        <f t="shared" ref="I176:I191" si="91">TRUNC(G176*(1+HLOOKUP(H176,$F$6:$I$7,2,FALSE)),2)</f>
        <v>0</v>
      </c>
      <c r="J176" s="17">
        <f t="shared" ref="J176:J191" si="92">TRUNC(F176*I176,2)</f>
        <v>0</v>
      </c>
      <c r="K176" s="55"/>
      <c r="L176" s="87"/>
    </row>
    <row r="177" spans="1:12" s="81" customFormat="1" ht="38.25" outlineLevel="1" x14ac:dyDescent="0.2">
      <c r="A177" s="122" t="s">
        <v>582</v>
      </c>
      <c r="B177" s="12" t="s">
        <v>5</v>
      </c>
      <c r="C177" s="82">
        <v>93661</v>
      </c>
      <c r="D177" s="83" t="s">
        <v>852</v>
      </c>
      <c r="E177" s="84" t="s">
        <v>26</v>
      </c>
      <c r="F177" s="17">
        <v>2</v>
      </c>
      <c r="G177" s="17"/>
      <c r="H177" s="47" t="s">
        <v>29</v>
      </c>
      <c r="I177" s="17">
        <f t="shared" si="91"/>
        <v>0</v>
      </c>
      <c r="J177" s="17">
        <f t="shared" si="92"/>
        <v>0</v>
      </c>
      <c r="K177" s="55"/>
      <c r="L177" s="87"/>
    </row>
    <row r="178" spans="1:12" s="81" customFormat="1" ht="38.25" outlineLevel="1" x14ac:dyDescent="0.2">
      <c r="A178" s="122" t="s">
        <v>583</v>
      </c>
      <c r="B178" s="12" t="s">
        <v>5</v>
      </c>
      <c r="C178" s="82">
        <v>93662</v>
      </c>
      <c r="D178" s="83" t="s">
        <v>579</v>
      </c>
      <c r="E178" s="84" t="s">
        <v>26</v>
      </c>
      <c r="F178" s="17">
        <v>1</v>
      </c>
      <c r="G178" s="17"/>
      <c r="H178" s="47" t="s">
        <v>29</v>
      </c>
      <c r="I178" s="17">
        <f t="shared" si="91"/>
        <v>0</v>
      </c>
      <c r="J178" s="17">
        <f t="shared" si="92"/>
        <v>0</v>
      </c>
      <c r="K178" s="55"/>
      <c r="L178" s="87"/>
    </row>
    <row r="179" spans="1:12" s="81" customFormat="1" ht="15.75" outlineLevel="1" x14ac:dyDescent="0.2">
      <c r="A179" s="122"/>
      <c r="B179" s="12"/>
      <c r="C179" s="82"/>
      <c r="D179" s="123" t="s">
        <v>387</v>
      </c>
      <c r="E179" s="84"/>
      <c r="F179" s="17"/>
      <c r="G179" s="17"/>
      <c r="H179" s="47"/>
      <c r="I179" s="17"/>
      <c r="J179" s="17"/>
      <c r="K179" s="55"/>
      <c r="L179" s="87"/>
    </row>
    <row r="180" spans="1:12" s="81" customFormat="1" ht="38.25" outlineLevel="1" x14ac:dyDescent="0.2">
      <c r="A180" s="122" t="s">
        <v>584</v>
      </c>
      <c r="B180" s="12" t="s">
        <v>5</v>
      </c>
      <c r="C180" s="82">
        <v>92982</v>
      </c>
      <c r="D180" s="83" t="s">
        <v>390</v>
      </c>
      <c r="E180" s="84" t="s">
        <v>13</v>
      </c>
      <c r="F180" s="17">
        <v>54</v>
      </c>
      <c r="G180" s="17"/>
      <c r="H180" s="47" t="s">
        <v>29</v>
      </c>
      <c r="I180" s="17">
        <f t="shared" si="91"/>
        <v>0</v>
      </c>
      <c r="J180" s="17">
        <f t="shared" si="92"/>
        <v>0</v>
      </c>
      <c r="K180" s="55"/>
      <c r="L180" s="87"/>
    </row>
    <row r="181" spans="1:12" s="81" customFormat="1" ht="38.25" outlineLevel="1" x14ac:dyDescent="0.2">
      <c r="A181" s="122" t="s">
        <v>585</v>
      </c>
      <c r="B181" s="12" t="s">
        <v>5</v>
      </c>
      <c r="C181" s="82">
        <v>91930</v>
      </c>
      <c r="D181" s="83" t="s">
        <v>391</v>
      </c>
      <c r="E181" s="84" t="s">
        <v>13</v>
      </c>
      <c r="F181" s="17">
        <v>18</v>
      </c>
      <c r="G181" s="17"/>
      <c r="H181" s="47" t="s">
        <v>29</v>
      </c>
      <c r="I181" s="17">
        <f t="shared" si="91"/>
        <v>0</v>
      </c>
      <c r="J181" s="17">
        <f t="shared" si="92"/>
        <v>0</v>
      </c>
      <c r="K181" s="55"/>
      <c r="L181" s="87"/>
    </row>
    <row r="182" spans="1:12" s="81" customFormat="1" ht="38.25" outlineLevel="1" x14ac:dyDescent="0.2">
      <c r="A182" s="122" t="s">
        <v>586</v>
      </c>
      <c r="B182" s="12" t="s">
        <v>5</v>
      </c>
      <c r="C182" s="82">
        <v>91926</v>
      </c>
      <c r="D182" s="83" t="s">
        <v>392</v>
      </c>
      <c r="E182" s="84" t="s">
        <v>13</v>
      </c>
      <c r="F182" s="17">
        <v>264</v>
      </c>
      <c r="G182" s="17"/>
      <c r="H182" s="47" t="s">
        <v>29</v>
      </c>
      <c r="I182" s="17">
        <f t="shared" si="91"/>
        <v>0</v>
      </c>
      <c r="J182" s="17">
        <f t="shared" si="92"/>
        <v>0</v>
      </c>
      <c r="K182" s="55"/>
      <c r="L182" s="87"/>
    </row>
    <row r="183" spans="1:12" s="81" customFormat="1" ht="38.25" outlineLevel="1" x14ac:dyDescent="0.2">
      <c r="A183" s="122" t="s">
        <v>587</v>
      </c>
      <c r="B183" s="12" t="s">
        <v>5</v>
      </c>
      <c r="C183" s="82">
        <v>91924</v>
      </c>
      <c r="D183" s="83" t="s">
        <v>393</v>
      </c>
      <c r="E183" s="84" t="s">
        <v>13</v>
      </c>
      <c r="F183" s="17">
        <v>60</v>
      </c>
      <c r="G183" s="17"/>
      <c r="H183" s="47" t="s">
        <v>29</v>
      </c>
      <c r="I183" s="17">
        <f t="shared" si="91"/>
        <v>0</v>
      </c>
      <c r="J183" s="17">
        <f t="shared" si="92"/>
        <v>0</v>
      </c>
      <c r="K183" s="55"/>
      <c r="L183" s="87"/>
    </row>
    <row r="184" spans="1:12" s="81" customFormat="1" ht="15.75" outlineLevel="1" x14ac:dyDescent="0.2">
      <c r="A184" s="122"/>
      <c r="B184" s="12"/>
      <c r="C184" s="82"/>
      <c r="D184" s="123" t="s">
        <v>388</v>
      </c>
      <c r="E184" s="84"/>
      <c r="F184" s="17"/>
      <c r="G184" s="17"/>
      <c r="H184" s="47"/>
      <c r="I184" s="17"/>
      <c r="J184" s="17"/>
      <c r="K184" s="55"/>
      <c r="L184" s="87"/>
    </row>
    <row r="185" spans="1:12" s="81" customFormat="1" ht="38.25" outlineLevel="1" x14ac:dyDescent="0.2">
      <c r="A185" s="122" t="s">
        <v>589</v>
      </c>
      <c r="B185" s="12" t="s">
        <v>5</v>
      </c>
      <c r="C185" s="82">
        <v>104397</v>
      </c>
      <c r="D185" s="83" t="s">
        <v>588</v>
      </c>
      <c r="E185" s="84" t="s">
        <v>26</v>
      </c>
      <c r="F185" s="17">
        <v>16</v>
      </c>
      <c r="G185" s="17"/>
      <c r="H185" s="47" t="s">
        <v>29</v>
      </c>
      <c r="I185" s="17">
        <f t="shared" ref="I185" si="93">TRUNC(G185*(1+HLOOKUP(H185,$F$6:$I$7,2,FALSE)),2)</f>
        <v>0</v>
      </c>
      <c r="J185" s="17">
        <f t="shared" ref="J185" si="94">TRUNC(F185*I185,2)</f>
        <v>0</v>
      </c>
      <c r="K185" s="55"/>
      <c r="L185" s="87"/>
    </row>
    <row r="186" spans="1:12" s="81" customFormat="1" ht="38.25" outlineLevel="1" x14ac:dyDescent="0.2">
      <c r="A186" s="122" t="s">
        <v>593</v>
      </c>
      <c r="B186" s="12" t="s">
        <v>5</v>
      </c>
      <c r="C186" s="82">
        <v>92023</v>
      </c>
      <c r="D186" s="83" t="s">
        <v>592</v>
      </c>
      <c r="E186" s="84" t="s">
        <v>26</v>
      </c>
      <c r="F186" s="17">
        <v>5</v>
      </c>
      <c r="G186" s="17"/>
      <c r="H186" s="47" t="s">
        <v>29</v>
      </c>
      <c r="I186" s="17">
        <f t="shared" si="91"/>
        <v>0</v>
      </c>
      <c r="J186" s="17">
        <f t="shared" si="92"/>
        <v>0</v>
      </c>
      <c r="K186" s="55"/>
      <c r="L186" s="87"/>
    </row>
    <row r="187" spans="1:12" s="81" customFormat="1" ht="38.25" outlineLevel="1" x14ac:dyDescent="0.2">
      <c r="A187" s="122" t="s">
        <v>594</v>
      </c>
      <c r="B187" s="12" t="s">
        <v>5</v>
      </c>
      <c r="C187" s="82">
        <v>91996</v>
      </c>
      <c r="D187" s="83" t="s">
        <v>591</v>
      </c>
      <c r="E187" s="84" t="s">
        <v>26</v>
      </c>
      <c r="F187" s="17">
        <v>6</v>
      </c>
      <c r="G187" s="17"/>
      <c r="H187" s="47" t="s">
        <v>29</v>
      </c>
      <c r="I187" s="17">
        <f t="shared" si="91"/>
        <v>0</v>
      </c>
      <c r="J187" s="17">
        <f t="shared" si="92"/>
        <v>0</v>
      </c>
      <c r="K187" s="55"/>
      <c r="L187" s="87"/>
    </row>
    <row r="188" spans="1:12" s="81" customFormat="1" ht="38.25" outlineLevel="1" x14ac:dyDescent="0.2">
      <c r="A188" s="122" t="s">
        <v>595</v>
      </c>
      <c r="B188" s="12" t="s">
        <v>5</v>
      </c>
      <c r="C188" s="82">
        <v>97997</v>
      </c>
      <c r="D188" s="83" t="s">
        <v>590</v>
      </c>
      <c r="E188" s="84" t="s">
        <v>26</v>
      </c>
      <c r="F188" s="17">
        <v>4</v>
      </c>
      <c r="G188" s="17"/>
      <c r="H188" s="47" t="s">
        <v>29</v>
      </c>
      <c r="I188" s="17">
        <f t="shared" ref="I188" si="95">TRUNC(G188*(1+HLOOKUP(H188,$F$6:$I$7,2,FALSE)),2)</f>
        <v>0</v>
      </c>
      <c r="J188" s="17">
        <f t="shared" ref="J188" si="96">TRUNC(F188*I188,2)</f>
        <v>0</v>
      </c>
      <c r="K188" s="55"/>
      <c r="L188" s="87"/>
    </row>
    <row r="189" spans="1:12" s="81" customFormat="1" ht="38.25" outlineLevel="1" x14ac:dyDescent="0.2">
      <c r="A189" s="122" t="s">
        <v>599</v>
      </c>
      <c r="B189" s="12" t="s">
        <v>5</v>
      </c>
      <c r="C189" s="82">
        <v>91993</v>
      </c>
      <c r="D189" s="83" t="s">
        <v>596</v>
      </c>
      <c r="E189" s="84" t="s">
        <v>26</v>
      </c>
      <c r="F189" s="17">
        <v>1</v>
      </c>
      <c r="G189" s="17"/>
      <c r="H189" s="47" t="s">
        <v>29</v>
      </c>
      <c r="I189" s="17">
        <f t="shared" ref="I189" si="97">TRUNC(G189*(1+HLOOKUP(H189,$F$6:$I$7,2,FALSE)),2)</f>
        <v>0</v>
      </c>
      <c r="J189" s="17">
        <f t="shared" ref="J189" si="98">TRUNC(F189*I189,2)</f>
        <v>0</v>
      </c>
      <c r="K189" s="55"/>
      <c r="L189" s="87"/>
    </row>
    <row r="190" spans="1:12" s="81" customFormat="1" ht="51" outlineLevel="1" x14ac:dyDescent="0.2">
      <c r="A190" s="122" t="s">
        <v>600</v>
      </c>
      <c r="B190" s="12" t="s">
        <v>5</v>
      </c>
      <c r="C190" s="82">
        <v>97586</v>
      </c>
      <c r="D190" s="83" t="s">
        <v>597</v>
      </c>
      <c r="E190" s="84" t="s">
        <v>26</v>
      </c>
      <c r="F190" s="17">
        <v>6</v>
      </c>
      <c r="G190" s="17"/>
      <c r="H190" s="47" t="s">
        <v>29</v>
      </c>
      <c r="I190" s="17">
        <f t="shared" si="91"/>
        <v>0</v>
      </c>
      <c r="J190" s="17">
        <f t="shared" si="92"/>
        <v>0</v>
      </c>
      <c r="K190" s="55"/>
      <c r="L190" s="87"/>
    </row>
    <row r="191" spans="1:12" s="81" customFormat="1" ht="63.75" outlineLevel="1" x14ac:dyDescent="0.2">
      <c r="A191" s="122" t="s">
        <v>601</v>
      </c>
      <c r="B191" s="12" t="s">
        <v>5</v>
      </c>
      <c r="C191" s="82">
        <v>97608</v>
      </c>
      <c r="D191" s="83" t="s">
        <v>598</v>
      </c>
      <c r="E191" s="84" t="s">
        <v>26</v>
      </c>
      <c r="F191" s="17">
        <v>8</v>
      </c>
      <c r="G191" s="17"/>
      <c r="H191" s="47" t="s">
        <v>29</v>
      </c>
      <c r="I191" s="17">
        <f t="shared" si="91"/>
        <v>0</v>
      </c>
      <c r="J191" s="17">
        <f t="shared" si="92"/>
        <v>0</v>
      </c>
      <c r="K191" s="55"/>
      <c r="L191" s="87"/>
    </row>
    <row r="192" spans="1:12" s="81" customFormat="1" ht="15.75" outlineLevel="1" x14ac:dyDescent="0.2">
      <c r="A192" s="114" t="s">
        <v>315</v>
      </c>
      <c r="B192" s="115"/>
      <c r="C192" s="116"/>
      <c r="D192" s="117" t="s">
        <v>261</v>
      </c>
      <c r="E192" s="118"/>
      <c r="F192" s="119"/>
      <c r="G192" s="119"/>
      <c r="H192" s="120"/>
      <c r="I192" s="119"/>
      <c r="J192" s="119"/>
      <c r="K192" s="121"/>
      <c r="L192" s="87"/>
    </row>
    <row r="193" spans="1:12" s="81" customFormat="1" ht="25.5" outlineLevel="1" x14ac:dyDescent="0.2">
      <c r="A193" s="122" t="s">
        <v>316</v>
      </c>
      <c r="B193" s="12" t="s">
        <v>5</v>
      </c>
      <c r="C193" s="82">
        <v>96622</v>
      </c>
      <c r="D193" s="83" t="s">
        <v>270</v>
      </c>
      <c r="E193" s="84" t="s">
        <v>14</v>
      </c>
      <c r="F193" s="17">
        <v>3.59</v>
      </c>
      <c r="G193" s="17"/>
      <c r="H193" s="47" t="s">
        <v>29</v>
      </c>
      <c r="I193" s="17">
        <f t="shared" si="63"/>
        <v>0</v>
      </c>
      <c r="J193" s="17">
        <f t="shared" si="64"/>
        <v>0</v>
      </c>
      <c r="K193" s="55"/>
      <c r="L193" s="87"/>
    </row>
    <row r="194" spans="1:12" s="81" customFormat="1" ht="25.5" outlineLevel="1" x14ac:dyDescent="0.2">
      <c r="A194" s="122" t="s">
        <v>317</v>
      </c>
      <c r="B194" s="12" t="s">
        <v>5</v>
      </c>
      <c r="C194" s="82">
        <v>101747</v>
      </c>
      <c r="D194" s="83" t="s">
        <v>271</v>
      </c>
      <c r="E194" s="84" t="s">
        <v>11</v>
      </c>
      <c r="F194" s="17">
        <v>71.849999999999994</v>
      </c>
      <c r="G194" s="17"/>
      <c r="H194" s="47" t="s">
        <v>29</v>
      </c>
      <c r="I194" s="17">
        <f t="shared" ref="I194:I197" si="99">TRUNC(G194*(1+HLOOKUP(H194,$F$6:$I$7,2,FALSE)),2)</f>
        <v>0</v>
      </c>
      <c r="J194" s="17">
        <f t="shared" ref="J194:J197" si="100">TRUNC(F194*I194,2)</f>
        <v>0</v>
      </c>
      <c r="K194" s="55"/>
      <c r="L194" s="87"/>
    </row>
    <row r="195" spans="1:12" s="81" customFormat="1" ht="51" outlineLevel="1" x14ac:dyDescent="0.2">
      <c r="A195" s="122" t="s">
        <v>318</v>
      </c>
      <c r="B195" s="12" t="s">
        <v>5</v>
      </c>
      <c r="C195" s="82">
        <v>87246</v>
      </c>
      <c r="D195" s="83" t="s">
        <v>492</v>
      </c>
      <c r="E195" s="84" t="s">
        <v>11</v>
      </c>
      <c r="F195" s="17">
        <v>21.45</v>
      </c>
      <c r="G195" s="17"/>
      <c r="H195" s="47" t="s">
        <v>29</v>
      </c>
      <c r="I195" s="17">
        <f t="shared" si="99"/>
        <v>0</v>
      </c>
      <c r="J195" s="17">
        <f t="shared" si="100"/>
        <v>0</v>
      </c>
      <c r="K195" s="55"/>
      <c r="L195" s="87"/>
    </row>
    <row r="196" spans="1:12" s="81" customFormat="1" ht="51" outlineLevel="1" x14ac:dyDescent="0.2">
      <c r="A196" s="122" t="s">
        <v>319</v>
      </c>
      <c r="B196" s="12" t="s">
        <v>5</v>
      </c>
      <c r="C196" s="82">
        <v>964767</v>
      </c>
      <c r="D196" s="83" t="s">
        <v>493</v>
      </c>
      <c r="E196" s="84" t="s">
        <v>13</v>
      </c>
      <c r="F196" s="17">
        <v>13.2</v>
      </c>
      <c r="G196" s="17"/>
      <c r="H196" s="47" t="s">
        <v>29</v>
      </c>
      <c r="I196" s="17">
        <f t="shared" si="99"/>
        <v>0</v>
      </c>
      <c r="J196" s="17">
        <f t="shared" si="100"/>
        <v>0</v>
      </c>
      <c r="K196" s="55"/>
      <c r="L196" s="87"/>
    </row>
    <row r="197" spans="1:12" s="81" customFormat="1" ht="51" outlineLevel="1" x14ac:dyDescent="0.2">
      <c r="A197" s="122" t="s">
        <v>320</v>
      </c>
      <c r="B197" s="12" t="s">
        <v>5</v>
      </c>
      <c r="C197" s="82">
        <v>94992</v>
      </c>
      <c r="D197" s="83" t="s">
        <v>272</v>
      </c>
      <c r="E197" s="84" t="s">
        <v>11</v>
      </c>
      <c r="F197" s="17">
        <v>49</v>
      </c>
      <c r="G197" s="17"/>
      <c r="H197" s="47" t="s">
        <v>29</v>
      </c>
      <c r="I197" s="17">
        <f t="shared" si="99"/>
        <v>0</v>
      </c>
      <c r="J197" s="17">
        <f t="shared" si="100"/>
        <v>0</v>
      </c>
      <c r="K197" s="55"/>
      <c r="L197" s="87"/>
    </row>
    <row r="198" spans="1:12" s="81" customFormat="1" ht="15.75" outlineLevel="1" x14ac:dyDescent="0.2">
      <c r="A198" s="114" t="s">
        <v>321</v>
      </c>
      <c r="B198" s="115"/>
      <c r="C198" s="116"/>
      <c r="D198" s="117" t="s">
        <v>260</v>
      </c>
      <c r="E198" s="118"/>
      <c r="F198" s="119"/>
      <c r="G198" s="119"/>
      <c r="H198" s="120"/>
      <c r="I198" s="119"/>
      <c r="J198" s="119"/>
      <c r="K198" s="121"/>
      <c r="L198" s="87"/>
    </row>
    <row r="199" spans="1:12" s="81" customFormat="1" ht="15.75" outlineLevel="1" x14ac:dyDescent="0.2">
      <c r="A199" s="122"/>
      <c r="B199" s="12"/>
      <c r="C199" s="82"/>
      <c r="D199" s="123" t="s">
        <v>479</v>
      </c>
      <c r="E199" s="84"/>
      <c r="F199" s="17"/>
      <c r="G199" s="17"/>
      <c r="H199" s="47"/>
      <c r="I199" s="17"/>
      <c r="J199" s="17"/>
      <c r="K199" s="55"/>
      <c r="L199" s="87"/>
    </row>
    <row r="200" spans="1:12" s="81" customFormat="1" ht="51" outlineLevel="1" x14ac:dyDescent="0.2">
      <c r="A200" s="122" t="s">
        <v>322</v>
      </c>
      <c r="B200" s="12" t="s">
        <v>5</v>
      </c>
      <c r="C200" s="82">
        <v>87879</v>
      </c>
      <c r="D200" s="83" t="s">
        <v>480</v>
      </c>
      <c r="E200" s="84" t="s">
        <v>11</v>
      </c>
      <c r="F200" s="17">
        <v>10.8</v>
      </c>
      <c r="G200" s="17"/>
      <c r="H200" s="47" t="s">
        <v>29</v>
      </c>
      <c r="I200" s="17">
        <f t="shared" ref="I200:I202" si="101">TRUNC(G200*(1+HLOOKUP(H200,$F$6:$I$7,2,FALSE)),2)</f>
        <v>0</v>
      </c>
      <c r="J200" s="17">
        <f t="shared" ref="J200:J202" si="102">TRUNC(F200*I200,2)</f>
        <v>0</v>
      </c>
      <c r="K200" s="55"/>
      <c r="L200" s="87"/>
    </row>
    <row r="201" spans="1:12" s="81" customFormat="1" ht="76.5" outlineLevel="1" x14ac:dyDescent="0.2">
      <c r="A201" s="122" t="s">
        <v>323</v>
      </c>
      <c r="B201" s="12" t="s">
        <v>5</v>
      </c>
      <c r="C201" s="82">
        <v>87545</v>
      </c>
      <c r="D201" s="83" t="s">
        <v>481</v>
      </c>
      <c r="E201" s="84" t="s">
        <v>11</v>
      </c>
      <c r="F201" s="17">
        <v>10.8</v>
      </c>
      <c r="G201" s="17"/>
      <c r="H201" s="47" t="s">
        <v>29</v>
      </c>
      <c r="I201" s="17">
        <f t="shared" si="101"/>
        <v>0</v>
      </c>
      <c r="J201" s="17">
        <f t="shared" si="102"/>
        <v>0</v>
      </c>
      <c r="K201" s="55"/>
      <c r="L201" s="87"/>
    </row>
    <row r="202" spans="1:12" s="81" customFormat="1" ht="38.25" outlineLevel="1" x14ac:dyDescent="0.2">
      <c r="A202" s="122" t="s">
        <v>324</v>
      </c>
      <c r="B202" s="12" t="s">
        <v>5</v>
      </c>
      <c r="C202" s="82">
        <v>87267</v>
      </c>
      <c r="D202" s="83" t="s">
        <v>482</v>
      </c>
      <c r="E202" s="84" t="s">
        <v>11</v>
      </c>
      <c r="F202" s="17">
        <v>10.8</v>
      </c>
      <c r="G202" s="17"/>
      <c r="H202" s="47" t="s">
        <v>29</v>
      </c>
      <c r="I202" s="17">
        <f t="shared" si="101"/>
        <v>0</v>
      </c>
      <c r="J202" s="17">
        <f t="shared" si="102"/>
        <v>0</v>
      </c>
      <c r="K202" s="55"/>
      <c r="L202" s="87"/>
    </row>
    <row r="203" spans="1:12" s="81" customFormat="1" ht="15.75" outlineLevel="1" x14ac:dyDescent="0.2">
      <c r="A203" s="122"/>
      <c r="B203" s="12"/>
      <c r="C203" s="82"/>
      <c r="D203" s="123" t="s">
        <v>486</v>
      </c>
      <c r="E203" s="84"/>
      <c r="F203" s="17"/>
      <c r="G203" s="17"/>
      <c r="H203" s="47"/>
      <c r="I203" s="17"/>
      <c r="J203" s="17"/>
      <c r="K203" s="55"/>
      <c r="L203" s="87"/>
    </row>
    <row r="204" spans="1:12" s="81" customFormat="1" ht="51" outlineLevel="1" x14ac:dyDescent="0.2">
      <c r="A204" s="122" t="s">
        <v>483</v>
      </c>
      <c r="B204" s="12" t="s">
        <v>5</v>
      </c>
      <c r="C204" s="82">
        <v>87879</v>
      </c>
      <c r="D204" s="83" t="s">
        <v>480</v>
      </c>
      <c r="E204" s="84" t="s">
        <v>11</v>
      </c>
      <c r="F204" s="17">
        <v>23.81</v>
      </c>
      <c r="G204" s="17"/>
      <c r="H204" s="47" t="s">
        <v>29</v>
      </c>
      <c r="I204" s="17">
        <f t="shared" ref="I204:I206" si="103">TRUNC(G204*(1+HLOOKUP(H204,$F$6:$I$7,2,FALSE)),2)</f>
        <v>0</v>
      </c>
      <c r="J204" s="17">
        <f t="shared" ref="J204:J206" si="104">TRUNC(F204*I204,2)</f>
        <v>0</v>
      </c>
      <c r="K204" s="55"/>
      <c r="L204" s="87"/>
    </row>
    <row r="205" spans="1:12" s="81" customFormat="1" ht="76.5" outlineLevel="1" x14ac:dyDescent="0.2">
      <c r="A205" s="122" t="s">
        <v>484</v>
      </c>
      <c r="B205" s="12" t="s">
        <v>5</v>
      </c>
      <c r="C205" s="82">
        <v>87545</v>
      </c>
      <c r="D205" s="83" t="s">
        <v>481</v>
      </c>
      <c r="E205" s="84" t="s">
        <v>11</v>
      </c>
      <c r="F205" s="17">
        <v>23.81</v>
      </c>
      <c r="G205" s="17"/>
      <c r="H205" s="47" t="s">
        <v>29</v>
      </c>
      <c r="I205" s="17">
        <f t="shared" si="103"/>
        <v>0</v>
      </c>
      <c r="J205" s="17">
        <f t="shared" si="104"/>
        <v>0</v>
      </c>
      <c r="K205" s="55"/>
      <c r="L205" s="87"/>
    </row>
    <row r="206" spans="1:12" s="81" customFormat="1" ht="38.25" outlineLevel="1" x14ac:dyDescent="0.2">
      <c r="A206" s="122" t="s">
        <v>485</v>
      </c>
      <c r="B206" s="12" t="s">
        <v>5</v>
      </c>
      <c r="C206" s="82">
        <v>87267</v>
      </c>
      <c r="D206" s="83" t="s">
        <v>482</v>
      </c>
      <c r="E206" s="84" t="s">
        <v>11</v>
      </c>
      <c r="F206" s="17">
        <v>23.81</v>
      </c>
      <c r="G206" s="17"/>
      <c r="H206" s="47" t="s">
        <v>29</v>
      </c>
      <c r="I206" s="17">
        <f t="shared" si="103"/>
        <v>0</v>
      </c>
      <c r="J206" s="17">
        <f t="shared" si="104"/>
        <v>0</v>
      </c>
      <c r="K206" s="55"/>
      <c r="L206" s="87"/>
    </row>
    <row r="207" spans="1:12" s="81" customFormat="1" ht="15.75" outlineLevel="1" x14ac:dyDescent="0.2">
      <c r="A207" s="114" t="s">
        <v>325</v>
      </c>
      <c r="B207" s="115"/>
      <c r="C207" s="116"/>
      <c r="D207" s="117" t="s">
        <v>328</v>
      </c>
      <c r="E207" s="118"/>
      <c r="F207" s="119"/>
      <c r="G207" s="119"/>
      <c r="H207" s="120"/>
      <c r="I207" s="119"/>
      <c r="J207" s="119"/>
      <c r="K207" s="121"/>
      <c r="L207" s="87"/>
    </row>
    <row r="208" spans="1:12" s="81" customFormat="1" ht="63.75" outlineLevel="1" x14ac:dyDescent="0.2">
      <c r="A208" s="122" t="s">
        <v>326</v>
      </c>
      <c r="B208" s="12" t="s">
        <v>5</v>
      </c>
      <c r="C208" s="82">
        <v>86939</v>
      </c>
      <c r="D208" s="83" t="s">
        <v>376</v>
      </c>
      <c r="E208" s="84" t="s">
        <v>26</v>
      </c>
      <c r="F208" s="17">
        <v>1</v>
      </c>
      <c r="G208" s="17"/>
      <c r="H208" s="47" t="s">
        <v>29</v>
      </c>
      <c r="I208" s="17">
        <f t="shared" si="63"/>
        <v>0</v>
      </c>
      <c r="J208" s="17">
        <f t="shared" si="64"/>
        <v>0</v>
      </c>
      <c r="K208" s="55"/>
      <c r="L208" s="87"/>
    </row>
    <row r="209" spans="1:12" s="81" customFormat="1" ht="51" outlineLevel="1" x14ac:dyDescent="0.2">
      <c r="A209" s="122" t="s">
        <v>380</v>
      </c>
      <c r="B209" s="12" t="s">
        <v>5</v>
      </c>
      <c r="C209" s="82">
        <v>86931</v>
      </c>
      <c r="D209" s="83" t="s">
        <v>377</v>
      </c>
      <c r="E209" s="84" t="s">
        <v>26</v>
      </c>
      <c r="F209" s="17">
        <v>1</v>
      </c>
      <c r="G209" s="17"/>
      <c r="H209" s="47" t="s">
        <v>29</v>
      </c>
      <c r="I209" s="17">
        <f t="shared" si="63"/>
        <v>0</v>
      </c>
      <c r="J209" s="17">
        <f t="shared" si="64"/>
        <v>0</v>
      </c>
      <c r="K209" s="55"/>
      <c r="L209" s="87"/>
    </row>
    <row r="210" spans="1:12" s="81" customFormat="1" ht="25.5" outlineLevel="1" x14ac:dyDescent="0.2">
      <c r="A210" s="122" t="s">
        <v>381</v>
      </c>
      <c r="B210" s="12" t="s">
        <v>5</v>
      </c>
      <c r="C210" s="82">
        <v>100860</v>
      </c>
      <c r="D210" s="83" t="s">
        <v>378</v>
      </c>
      <c r="E210" s="84" t="s">
        <v>26</v>
      </c>
      <c r="F210" s="17">
        <v>1</v>
      </c>
      <c r="G210" s="17"/>
      <c r="H210" s="47" t="s">
        <v>29</v>
      </c>
      <c r="I210" s="17">
        <f t="shared" ref="I210:I218" si="105">TRUNC(G210*(1+HLOOKUP(H210,$F$6:$I$7,2,FALSE)),2)</f>
        <v>0</v>
      </c>
      <c r="J210" s="17">
        <f t="shared" ref="J210:J218" si="106">TRUNC(F210*I210,2)</f>
        <v>0</v>
      </c>
      <c r="K210" s="55"/>
      <c r="L210" s="87"/>
    </row>
    <row r="211" spans="1:12" s="81" customFormat="1" ht="63.75" outlineLevel="1" x14ac:dyDescent="0.2">
      <c r="A211" s="122" t="s">
        <v>382</v>
      </c>
      <c r="B211" s="12" t="s">
        <v>5</v>
      </c>
      <c r="C211" s="82">
        <v>86934</v>
      </c>
      <c r="D211" s="83" t="s">
        <v>379</v>
      </c>
      <c r="E211" s="84" t="s">
        <v>26</v>
      </c>
      <c r="F211" s="17">
        <v>1</v>
      </c>
      <c r="G211" s="17"/>
      <c r="H211" s="47" t="s">
        <v>29</v>
      </c>
      <c r="I211" s="17">
        <f t="shared" ref="I211:I212" si="107">TRUNC(G211*(1+HLOOKUP(H211,$F$6:$I$7,2,FALSE)),2)</f>
        <v>0</v>
      </c>
      <c r="J211" s="17">
        <f t="shared" ref="J211:J212" si="108">TRUNC(F211*I211,2)</f>
        <v>0</v>
      </c>
      <c r="K211" s="55"/>
      <c r="L211" s="87"/>
    </row>
    <row r="212" spans="1:12" s="81" customFormat="1" ht="38.25" outlineLevel="1" x14ac:dyDescent="0.2">
      <c r="A212" s="122" t="s">
        <v>383</v>
      </c>
      <c r="B212" s="12" t="s">
        <v>5</v>
      </c>
      <c r="C212" s="82">
        <v>86913</v>
      </c>
      <c r="D212" s="83" t="s">
        <v>384</v>
      </c>
      <c r="E212" s="84" t="s">
        <v>26</v>
      </c>
      <c r="F212" s="17">
        <v>5</v>
      </c>
      <c r="G212" s="17"/>
      <c r="H212" s="47" t="s">
        <v>29</v>
      </c>
      <c r="I212" s="17">
        <f t="shared" si="107"/>
        <v>0</v>
      </c>
      <c r="J212" s="17">
        <f t="shared" si="108"/>
        <v>0</v>
      </c>
      <c r="K212" s="55"/>
      <c r="L212" s="87"/>
    </row>
    <row r="213" spans="1:12" s="81" customFormat="1" ht="15.75" outlineLevel="1" x14ac:dyDescent="0.2">
      <c r="A213" s="114" t="s">
        <v>327</v>
      </c>
      <c r="B213" s="115"/>
      <c r="C213" s="116"/>
      <c r="D213" s="117" t="s">
        <v>268</v>
      </c>
      <c r="E213" s="118"/>
      <c r="F213" s="119"/>
      <c r="G213" s="119"/>
      <c r="H213" s="120"/>
      <c r="I213" s="119"/>
      <c r="J213" s="119"/>
      <c r="K213" s="121"/>
      <c r="L213" s="87"/>
    </row>
    <row r="214" spans="1:12" s="81" customFormat="1" ht="25.5" outlineLevel="1" x14ac:dyDescent="0.2">
      <c r="A214" s="122" t="s">
        <v>329</v>
      </c>
      <c r="B214" s="12" t="s">
        <v>5</v>
      </c>
      <c r="C214" s="82">
        <v>88485</v>
      </c>
      <c r="D214" s="83" t="s">
        <v>273</v>
      </c>
      <c r="E214" s="84" t="s">
        <v>11</v>
      </c>
      <c r="F214" s="17">
        <v>397.66</v>
      </c>
      <c r="G214" s="17"/>
      <c r="H214" s="47" t="s">
        <v>29</v>
      </c>
      <c r="I214" s="17">
        <f t="shared" ref="I214:I215" si="109">TRUNC(G214*(1+HLOOKUP(H214,$F$6:$I$7,2,FALSE)),2)</f>
        <v>0</v>
      </c>
      <c r="J214" s="17">
        <f t="shared" si="106"/>
        <v>0</v>
      </c>
      <c r="K214" s="55"/>
      <c r="L214" s="87"/>
    </row>
    <row r="215" spans="1:12" s="81" customFormat="1" ht="25.5" outlineLevel="1" x14ac:dyDescent="0.2">
      <c r="A215" s="122" t="s">
        <v>394</v>
      </c>
      <c r="B215" s="12" t="s">
        <v>5</v>
      </c>
      <c r="C215" s="82">
        <v>88484</v>
      </c>
      <c r="D215" s="83" t="s">
        <v>407</v>
      </c>
      <c r="E215" s="84" t="s">
        <v>11</v>
      </c>
      <c r="F215" s="17">
        <v>1.65</v>
      </c>
      <c r="G215" s="17"/>
      <c r="H215" s="47" t="s">
        <v>29</v>
      </c>
      <c r="I215" s="17">
        <f t="shared" si="109"/>
        <v>0</v>
      </c>
      <c r="J215" s="17">
        <f t="shared" ref="J215" si="110">TRUNC(F215*I215,2)</f>
        <v>0</v>
      </c>
      <c r="K215" s="55"/>
      <c r="L215" s="87"/>
    </row>
    <row r="216" spans="1:12" s="81" customFormat="1" ht="25.5" outlineLevel="1" x14ac:dyDescent="0.2">
      <c r="A216" s="122" t="s">
        <v>395</v>
      </c>
      <c r="B216" s="12" t="s">
        <v>5</v>
      </c>
      <c r="C216" s="82">
        <v>88489</v>
      </c>
      <c r="D216" s="83" t="s">
        <v>853</v>
      </c>
      <c r="E216" s="84" t="s">
        <v>11</v>
      </c>
      <c r="F216" s="17">
        <v>397.66</v>
      </c>
      <c r="G216" s="17"/>
      <c r="H216" s="47" t="s">
        <v>29</v>
      </c>
      <c r="I216" s="17">
        <f t="shared" ref="I216" si="111">TRUNC(G216*(1+HLOOKUP(H216,$F$6:$I$7,2,FALSE)),2)</f>
        <v>0</v>
      </c>
      <c r="J216" s="17">
        <f t="shared" ref="J216" si="112">TRUNC(F216*I216,2)</f>
        <v>0</v>
      </c>
      <c r="K216" s="55"/>
      <c r="L216" s="87"/>
    </row>
    <row r="217" spans="1:12" s="81" customFormat="1" ht="25.5" outlineLevel="1" x14ac:dyDescent="0.2">
      <c r="A217" s="122" t="s">
        <v>405</v>
      </c>
      <c r="B217" s="12" t="s">
        <v>5</v>
      </c>
      <c r="C217" s="82">
        <v>88488</v>
      </c>
      <c r="D217" s="83" t="s">
        <v>408</v>
      </c>
      <c r="E217" s="84" t="s">
        <v>11</v>
      </c>
      <c r="F217" s="17">
        <v>1.65</v>
      </c>
      <c r="G217" s="17"/>
      <c r="H217" s="47" t="s">
        <v>29</v>
      </c>
      <c r="I217" s="17">
        <f t="shared" ref="I217" si="113">TRUNC(G217*(1+HLOOKUP(H217,$F$6:$I$7,2,FALSE)),2)</f>
        <v>0</v>
      </c>
      <c r="J217" s="17">
        <f t="shared" ref="J217" si="114">TRUNC(F217*I217,2)</f>
        <v>0</v>
      </c>
      <c r="K217" s="55"/>
      <c r="L217" s="87"/>
    </row>
    <row r="218" spans="1:12" s="81" customFormat="1" ht="51" outlineLevel="1" x14ac:dyDescent="0.2">
      <c r="A218" s="122" t="s">
        <v>406</v>
      </c>
      <c r="B218" s="12" t="s">
        <v>5</v>
      </c>
      <c r="C218" s="82">
        <v>100741</v>
      </c>
      <c r="D218" s="83" t="s">
        <v>396</v>
      </c>
      <c r="E218" s="84" t="s">
        <v>11</v>
      </c>
      <c r="F218" s="17">
        <v>39.659999999999997</v>
      </c>
      <c r="G218" s="17"/>
      <c r="H218" s="47" t="s">
        <v>29</v>
      </c>
      <c r="I218" s="17">
        <f t="shared" si="105"/>
        <v>0</v>
      </c>
      <c r="J218" s="17">
        <f t="shared" si="106"/>
        <v>0</v>
      </c>
      <c r="K218" s="55"/>
      <c r="L218" s="87"/>
    </row>
    <row r="219" spans="1:12" s="81" customFormat="1" ht="15.75" outlineLevel="1" x14ac:dyDescent="0.2">
      <c r="A219" s="114" t="s">
        <v>487</v>
      </c>
      <c r="B219" s="115"/>
      <c r="C219" s="116"/>
      <c r="D219" s="117" t="s">
        <v>242</v>
      </c>
      <c r="E219" s="118"/>
      <c r="F219" s="119"/>
      <c r="G219" s="119"/>
      <c r="H219" s="120"/>
      <c r="I219" s="119"/>
      <c r="J219" s="119"/>
      <c r="K219" s="121"/>
      <c r="L219" s="87"/>
    </row>
    <row r="220" spans="1:12" s="81" customFormat="1" ht="38.25" outlineLevel="1" x14ac:dyDescent="0.2">
      <c r="A220" s="122" t="s">
        <v>488</v>
      </c>
      <c r="B220" s="12" t="s">
        <v>5</v>
      </c>
      <c r="C220" s="82">
        <v>102605</v>
      </c>
      <c r="D220" s="83" t="s">
        <v>857</v>
      </c>
      <c r="E220" s="84" t="s">
        <v>26</v>
      </c>
      <c r="F220" s="17">
        <v>2</v>
      </c>
      <c r="G220" s="17"/>
      <c r="H220" s="47" t="s">
        <v>29</v>
      </c>
      <c r="I220" s="17">
        <f t="shared" ref="I220:I222" si="115">TRUNC(G220*(1+HLOOKUP(H220,$F$6:$I$7,2,FALSE)),2)</f>
        <v>0</v>
      </c>
      <c r="J220" s="17">
        <f t="shared" ref="J220:J222" si="116">TRUNC(F220*I220,2)</f>
        <v>0</v>
      </c>
      <c r="K220" s="55"/>
      <c r="L220" s="87"/>
    </row>
    <row r="221" spans="1:12" s="81" customFormat="1" ht="38.25" outlineLevel="1" x14ac:dyDescent="0.2">
      <c r="A221" s="122" t="s">
        <v>489</v>
      </c>
      <c r="B221" s="12" t="s">
        <v>7</v>
      </c>
      <c r="C221" s="82" t="s">
        <v>491</v>
      </c>
      <c r="D221" s="83" t="s">
        <v>856</v>
      </c>
      <c r="E221" s="84" t="s">
        <v>26</v>
      </c>
      <c r="F221" s="17">
        <v>1</v>
      </c>
      <c r="G221" s="17"/>
      <c r="H221" s="47" t="s">
        <v>29</v>
      </c>
      <c r="I221" s="17">
        <f t="shared" si="115"/>
        <v>0</v>
      </c>
      <c r="J221" s="17">
        <f t="shared" si="116"/>
        <v>0</v>
      </c>
      <c r="K221" s="55"/>
      <c r="L221" s="87"/>
    </row>
    <row r="222" spans="1:12" s="81" customFormat="1" ht="38.25" outlineLevel="1" x14ac:dyDescent="0.2">
      <c r="A222" s="122" t="s">
        <v>490</v>
      </c>
      <c r="B222" s="12" t="s">
        <v>41</v>
      </c>
      <c r="C222" s="127">
        <v>52002114</v>
      </c>
      <c r="D222" s="83" t="s">
        <v>494</v>
      </c>
      <c r="E222" s="84" t="s">
        <v>26</v>
      </c>
      <c r="F222" s="17">
        <v>3</v>
      </c>
      <c r="G222" s="17"/>
      <c r="H222" s="47" t="s">
        <v>29</v>
      </c>
      <c r="I222" s="17">
        <f t="shared" si="115"/>
        <v>0</v>
      </c>
      <c r="J222" s="17">
        <f t="shared" si="116"/>
        <v>0</v>
      </c>
      <c r="K222" s="55"/>
      <c r="L222" s="87"/>
    </row>
    <row r="223" spans="1:12" s="78" customFormat="1" ht="30" customHeight="1" x14ac:dyDescent="0.2">
      <c r="A223" s="63" t="s">
        <v>87</v>
      </c>
      <c r="B223" s="64"/>
      <c r="C223" s="65"/>
      <c r="D223" s="66" t="s">
        <v>410</v>
      </c>
      <c r="E223" s="67"/>
      <c r="F223" s="68"/>
      <c r="G223" s="68"/>
      <c r="H223" s="68"/>
      <c r="I223" s="68" t="s">
        <v>17</v>
      </c>
      <c r="J223" s="69">
        <f>SUM(J224:J248)</f>
        <v>0</v>
      </c>
      <c r="K223" s="70" t="e">
        <f>J223/$J$414</f>
        <v>#DIV/0!</v>
      </c>
      <c r="L223" s="8"/>
    </row>
    <row r="224" spans="1:12" s="78" customFormat="1" ht="15.75" outlineLevel="1" x14ac:dyDescent="0.2">
      <c r="A224" s="114" t="s">
        <v>602</v>
      </c>
      <c r="B224" s="115"/>
      <c r="C224" s="116"/>
      <c r="D224" s="117" t="s">
        <v>850</v>
      </c>
      <c r="E224" s="118"/>
      <c r="F224" s="119"/>
      <c r="G224" s="119"/>
      <c r="H224" s="120"/>
      <c r="I224" s="119"/>
      <c r="J224" s="119"/>
      <c r="K224" s="121"/>
      <c r="L224" s="8"/>
    </row>
    <row r="225" spans="1:12" s="78" customFormat="1" ht="15.75" outlineLevel="1" x14ac:dyDescent="0.2">
      <c r="A225" s="18"/>
      <c r="B225" s="12"/>
      <c r="C225" s="13"/>
      <c r="D225" s="124" t="s">
        <v>94</v>
      </c>
      <c r="E225" s="15"/>
      <c r="F225" s="16"/>
      <c r="G225" s="17"/>
      <c r="H225" s="47"/>
      <c r="I225" s="16"/>
      <c r="J225" s="16"/>
      <c r="K225" s="20"/>
      <c r="L225" s="8"/>
    </row>
    <row r="226" spans="1:12" s="78" customFormat="1" ht="38.25" outlineLevel="1" x14ac:dyDescent="0.2">
      <c r="A226" s="18" t="s">
        <v>603</v>
      </c>
      <c r="B226" s="12" t="s">
        <v>7</v>
      </c>
      <c r="C226" s="13" t="s">
        <v>43</v>
      </c>
      <c r="D226" s="14" t="str">
        <f>UPPER( "Taxa de mobilização e desmobilização de equipamentos para execução de estaca tipo hélice contínua em solo")</f>
        <v>TAXA DE MOBILIZAÇÃO E DESMOBILIZAÇÃO DE EQUIPAMENTOS PARA EXECUÇÃO DE ESTACA TIPO HÉLICE CONTÍNUA EM SOLO</v>
      </c>
      <c r="E226" s="15" t="s">
        <v>44</v>
      </c>
      <c r="F226" s="16">
        <v>1</v>
      </c>
      <c r="G226" s="17"/>
      <c r="H226" s="47" t="s">
        <v>29</v>
      </c>
      <c r="I226" s="16">
        <f t="shared" ref="I226:I229" si="117">TRUNC(G226*(1+HLOOKUP(H226,$F$6:$I$7,2,FALSE)),2)</f>
        <v>0</v>
      </c>
      <c r="J226" s="16">
        <f t="shared" ref="J226:J229" si="118">TRUNC(F226*I226,2)</f>
        <v>0</v>
      </c>
      <c r="K226" s="20"/>
      <c r="L226" s="50"/>
    </row>
    <row r="227" spans="1:12" s="78" customFormat="1" ht="38.25" outlineLevel="1" x14ac:dyDescent="0.2">
      <c r="A227" s="18" t="s">
        <v>604</v>
      </c>
      <c r="B227" s="12" t="s">
        <v>5</v>
      </c>
      <c r="C227" s="13">
        <v>99059</v>
      </c>
      <c r="D227" s="14" t="s">
        <v>45</v>
      </c>
      <c r="E227" s="15" t="s">
        <v>13</v>
      </c>
      <c r="F227" s="16">
        <v>49.57</v>
      </c>
      <c r="G227" s="17"/>
      <c r="H227" s="47" t="s">
        <v>29</v>
      </c>
      <c r="I227" s="16">
        <f t="shared" si="117"/>
        <v>0</v>
      </c>
      <c r="J227" s="16">
        <f t="shared" si="118"/>
        <v>0</v>
      </c>
      <c r="K227" s="20"/>
      <c r="L227" s="8"/>
    </row>
    <row r="228" spans="1:12" s="78" customFormat="1" ht="25.5" outlineLevel="1" x14ac:dyDescent="0.2">
      <c r="A228" s="18" t="s">
        <v>605</v>
      </c>
      <c r="B228" s="12" t="s">
        <v>7</v>
      </c>
      <c r="C228" s="13" t="s">
        <v>102</v>
      </c>
      <c r="D228" s="14" t="str">
        <f>UPPER("Estaca tipo hélice contínua, diâmetro de 40 cm em solo")</f>
        <v>ESTACA TIPO HÉLICE CONTÍNUA, DIÂMETRO DE 40 CM EM SOLO</v>
      </c>
      <c r="E228" s="15" t="s">
        <v>13</v>
      </c>
      <c r="F228" s="16">
        <v>2002</v>
      </c>
      <c r="G228" s="17"/>
      <c r="H228" s="47" t="s">
        <v>29</v>
      </c>
      <c r="I228" s="16">
        <f t="shared" si="117"/>
        <v>0</v>
      </c>
      <c r="J228" s="16">
        <f t="shared" si="118"/>
        <v>0</v>
      </c>
      <c r="K228" s="20"/>
      <c r="L228" s="8"/>
    </row>
    <row r="229" spans="1:12" s="78" customFormat="1" ht="15.75" outlineLevel="1" x14ac:dyDescent="0.2">
      <c r="A229" s="18" t="s">
        <v>606</v>
      </c>
      <c r="B229" s="12" t="s">
        <v>7</v>
      </c>
      <c r="C229" s="13" t="s">
        <v>101</v>
      </c>
      <c r="D229" s="14" t="str">
        <f>UPPER("Concreto usinado, fck = 25 MPa - para bombeamento")</f>
        <v>CONCRETO USINADO, FCK = 25 MPA - PARA BOMBEAMENTO</v>
      </c>
      <c r="E229" s="15" t="s">
        <v>14</v>
      </c>
      <c r="F229" s="16">
        <v>302</v>
      </c>
      <c r="G229" s="17"/>
      <c r="H229" s="47" t="s">
        <v>29</v>
      </c>
      <c r="I229" s="16">
        <f t="shared" si="117"/>
        <v>0</v>
      </c>
      <c r="J229" s="16">
        <f t="shared" si="118"/>
        <v>0</v>
      </c>
      <c r="K229" s="20"/>
      <c r="L229" s="8"/>
    </row>
    <row r="230" spans="1:12" s="78" customFormat="1" ht="25.5" outlineLevel="1" x14ac:dyDescent="0.2">
      <c r="A230" s="18" t="s">
        <v>607</v>
      </c>
      <c r="B230" s="12" t="s">
        <v>7</v>
      </c>
      <c r="C230" s="13" t="s">
        <v>47</v>
      </c>
      <c r="D230" s="14" t="s">
        <v>93</v>
      </c>
      <c r="E230" s="15" t="s">
        <v>48</v>
      </c>
      <c r="F230" s="16">
        <v>3026</v>
      </c>
      <c r="G230" s="17"/>
      <c r="H230" s="47" t="s">
        <v>29</v>
      </c>
      <c r="I230" s="16">
        <f t="shared" ref="I230:I239" si="119">TRUNC(G230*(1+HLOOKUP(H230,$F$6:$I$7,2,FALSE)),2)</f>
        <v>0</v>
      </c>
      <c r="J230" s="16">
        <f t="shared" ref="J230:J239" si="120">TRUNC(F230*I230,2)</f>
        <v>0</v>
      </c>
      <c r="K230" s="20"/>
      <c r="L230" s="8"/>
    </row>
    <row r="231" spans="1:12" s="78" customFormat="1" ht="63.75" outlineLevel="1" x14ac:dyDescent="0.2">
      <c r="A231" s="18" t="s">
        <v>608</v>
      </c>
      <c r="B231" s="12" t="s">
        <v>5</v>
      </c>
      <c r="C231" s="13">
        <v>100974</v>
      </c>
      <c r="D231" s="14" t="s">
        <v>415</v>
      </c>
      <c r="E231" s="15" t="s">
        <v>14</v>
      </c>
      <c r="F231" s="16">
        <v>377.5</v>
      </c>
      <c r="G231" s="17"/>
      <c r="H231" s="47" t="s">
        <v>29</v>
      </c>
      <c r="I231" s="16">
        <f t="shared" ref="I231:I232" si="121">TRUNC(G231*(1+HLOOKUP(H231,$F$6:$I$7,2,FALSE)),2)</f>
        <v>0</v>
      </c>
      <c r="J231" s="16">
        <f t="shared" ref="J231:J232" si="122">TRUNC(F231*I231,2)</f>
        <v>0</v>
      </c>
      <c r="K231" s="20"/>
      <c r="L231" s="8"/>
    </row>
    <row r="232" spans="1:12" s="78" customFormat="1" ht="38.25" outlineLevel="1" x14ac:dyDescent="0.2">
      <c r="A232" s="18" t="s">
        <v>609</v>
      </c>
      <c r="B232" s="12" t="s">
        <v>5</v>
      </c>
      <c r="C232" s="13">
        <v>95875</v>
      </c>
      <c r="D232" s="14" t="s">
        <v>416</v>
      </c>
      <c r="E232" s="15" t="s">
        <v>79</v>
      </c>
      <c r="F232" s="16">
        <v>1887.5</v>
      </c>
      <c r="G232" s="17"/>
      <c r="H232" s="47" t="s">
        <v>29</v>
      </c>
      <c r="I232" s="16">
        <f t="shared" si="121"/>
        <v>0</v>
      </c>
      <c r="J232" s="16">
        <f t="shared" si="122"/>
        <v>0</v>
      </c>
      <c r="K232" s="20"/>
      <c r="L232" s="8"/>
    </row>
    <row r="233" spans="1:12" s="78" customFormat="1" ht="15.75" outlineLevel="1" x14ac:dyDescent="0.2">
      <c r="A233" s="18"/>
      <c r="B233" s="12"/>
      <c r="C233" s="13"/>
      <c r="D233" s="124" t="s">
        <v>95</v>
      </c>
      <c r="E233" s="15"/>
      <c r="F233" s="16"/>
      <c r="G233" s="17"/>
      <c r="H233" s="47"/>
      <c r="I233" s="16"/>
      <c r="J233" s="16"/>
      <c r="K233" s="20"/>
      <c r="L233" s="8"/>
    </row>
    <row r="234" spans="1:12" s="78" customFormat="1" ht="38.25" outlineLevel="1" x14ac:dyDescent="0.2">
      <c r="A234" s="18" t="s">
        <v>610</v>
      </c>
      <c r="B234" s="12" t="s">
        <v>5</v>
      </c>
      <c r="C234" s="13">
        <v>100324</v>
      </c>
      <c r="D234" s="14" t="s">
        <v>51</v>
      </c>
      <c r="E234" s="15" t="s">
        <v>14</v>
      </c>
      <c r="F234" s="16">
        <v>21.51</v>
      </c>
      <c r="G234" s="17"/>
      <c r="H234" s="47" t="s">
        <v>29</v>
      </c>
      <c r="I234" s="16">
        <f t="shared" si="119"/>
        <v>0</v>
      </c>
      <c r="J234" s="16">
        <f t="shared" si="120"/>
        <v>0</v>
      </c>
      <c r="K234" s="20"/>
      <c r="L234" s="8"/>
    </row>
    <row r="235" spans="1:12" s="78" customFormat="1" ht="38.25" outlineLevel="1" x14ac:dyDescent="0.2">
      <c r="A235" s="18" t="s">
        <v>611</v>
      </c>
      <c r="B235" s="12" t="s">
        <v>5</v>
      </c>
      <c r="C235" s="13">
        <v>97087</v>
      </c>
      <c r="D235" s="14" t="s">
        <v>49</v>
      </c>
      <c r="E235" s="15" t="s">
        <v>11</v>
      </c>
      <c r="F235" s="16">
        <v>215.13</v>
      </c>
      <c r="G235" s="17"/>
      <c r="H235" s="47" t="s">
        <v>29</v>
      </c>
      <c r="I235" s="16">
        <f t="shared" si="119"/>
        <v>0</v>
      </c>
      <c r="J235" s="16">
        <f t="shared" si="120"/>
        <v>0</v>
      </c>
      <c r="K235" s="20"/>
      <c r="L235" s="8"/>
    </row>
    <row r="236" spans="1:12" s="78" customFormat="1" ht="51" outlineLevel="1" x14ac:dyDescent="0.2">
      <c r="A236" s="18" t="s">
        <v>612</v>
      </c>
      <c r="B236" s="12" t="s">
        <v>5</v>
      </c>
      <c r="C236" s="13">
        <v>96537</v>
      </c>
      <c r="D236" s="14" t="s">
        <v>414</v>
      </c>
      <c r="E236" s="15" t="s">
        <v>11</v>
      </c>
      <c r="F236" s="16">
        <v>39.659999999999997</v>
      </c>
      <c r="G236" s="17"/>
      <c r="H236" s="47" t="s">
        <v>29</v>
      </c>
      <c r="I236" s="16">
        <f t="shared" si="119"/>
        <v>0</v>
      </c>
      <c r="J236" s="16">
        <f t="shared" si="120"/>
        <v>0</v>
      </c>
      <c r="K236" s="20"/>
      <c r="L236" s="8"/>
    </row>
    <row r="237" spans="1:12" s="78" customFormat="1" ht="25.5" outlineLevel="1" x14ac:dyDescent="0.2">
      <c r="A237" s="18" t="s">
        <v>613</v>
      </c>
      <c r="B237" s="12" t="s">
        <v>7</v>
      </c>
      <c r="C237" s="13" t="s">
        <v>47</v>
      </c>
      <c r="D237" s="14" t="str">
        <f>UPPER("Armadura em barra de aço CA-50 (A ou B) fyk = 500 Mpa")</f>
        <v>ARMADURA EM BARRA DE AÇO CA-50 (A OU B) FYK = 500 MPA</v>
      </c>
      <c r="E237" s="15" t="s">
        <v>48</v>
      </c>
      <c r="F237" s="16">
        <v>4974</v>
      </c>
      <c r="G237" s="17"/>
      <c r="H237" s="47" t="s">
        <v>29</v>
      </c>
      <c r="I237" s="16">
        <f t="shared" si="119"/>
        <v>0</v>
      </c>
      <c r="J237" s="16">
        <f t="shared" si="120"/>
        <v>0</v>
      </c>
      <c r="K237" s="20"/>
      <c r="L237" s="8"/>
    </row>
    <row r="238" spans="1:12" s="78" customFormat="1" ht="15.75" outlineLevel="1" x14ac:dyDescent="0.2">
      <c r="A238" s="18" t="s">
        <v>614</v>
      </c>
      <c r="B238" s="12" t="s">
        <v>7</v>
      </c>
      <c r="C238" s="13" t="s">
        <v>101</v>
      </c>
      <c r="D238" s="14" t="str">
        <f>UPPER("Concreto usinado, fck = 25 MPa - para bombeamento")</f>
        <v>CONCRETO USINADO, FCK = 25 MPA - PARA BOMBEAMENTO</v>
      </c>
      <c r="E238" s="15" t="s">
        <v>14</v>
      </c>
      <c r="F238" s="16">
        <v>534</v>
      </c>
      <c r="G238" s="17"/>
      <c r="H238" s="47" t="s">
        <v>29</v>
      </c>
      <c r="I238" s="16">
        <f t="shared" si="119"/>
        <v>0</v>
      </c>
      <c r="J238" s="16">
        <f t="shared" si="120"/>
        <v>0</v>
      </c>
      <c r="K238" s="20"/>
      <c r="L238" s="8"/>
    </row>
    <row r="239" spans="1:12" s="78" customFormat="1" ht="25.5" outlineLevel="1" x14ac:dyDescent="0.2">
      <c r="A239" s="18" t="s">
        <v>615</v>
      </c>
      <c r="B239" s="12" t="s">
        <v>7</v>
      </c>
      <c r="C239" s="13" t="s">
        <v>50</v>
      </c>
      <c r="D239" s="14" t="str">
        <f>UPPER("Lançamento e adensamento de concreto ou massa por bombeamento")</f>
        <v>LANÇAMENTO E ADENSAMENTO DE CONCRETO OU MASSA POR BOMBEAMENTO</v>
      </c>
      <c r="E239" s="15" t="s">
        <v>14</v>
      </c>
      <c r="F239" s="16">
        <v>157</v>
      </c>
      <c r="G239" s="17"/>
      <c r="H239" s="47" t="s">
        <v>29</v>
      </c>
      <c r="I239" s="16">
        <f t="shared" si="119"/>
        <v>0</v>
      </c>
      <c r="J239" s="16">
        <f t="shared" si="120"/>
        <v>0</v>
      </c>
      <c r="K239" s="20"/>
      <c r="L239" s="8"/>
    </row>
    <row r="240" spans="1:12" s="78" customFormat="1" ht="15.75" outlineLevel="1" x14ac:dyDescent="0.2">
      <c r="A240" s="114" t="s">
        <v>616</v>
      </c>
      <c r="B240" s="115"/>
      <c r="C240" s="116"/>
      <c r="D240" s="117" t="s">
        <v>410</v>
      </c>
      <c r="E240" s="118"/>
      <c r="F240" s="119"/>
      <c r="G240" s="119"/>
      <c r="H240" s="120"/>
      <c r="I240" s="119"/>
      <c r="J240" s="119"/>
      <c r="K240" s="121"/>
      <c r="L240" s="8"/>
    </row>
    <row r="241" spans="1:12" s="78" customFormat="1" ht="25.5" outlineLevel="1" x14ac:dyDescent="0.2">
      <c r="A241" s="122" t="s">
        <v>617</v>
      </c>
      <c r="B241" s="88" t="s">
        <v>7</v>
      </c>
      <c r="C241" s="41" t="s">
        <v>100</v>
      </c>
      <c r="D241" s="89" t="str">
        <f>UPPER("Fornecimento e montagem de estrutura em aço ASTM-A36, sem pintura")</f>
        <v>FORNECIMENTO E MONTAGEM DE ESTRUTURA EM AÇO ASTM-A36, SEM PINTURA</v>
      </c>
      <c r="E241" s="90" t="s">
        <v>48</v>
      </c>
      <c r="F241" s="46">
        <v>66518.350000000006</v>
      </c>
      <c r="G241" s="46"/>
      <c r="H241" s="33" t="s">
        <v>29</v>
      </c>
      <c r="I241" s="17">
        <f t="shared" ref="I241" si="123">TRUNC(G241*(1+HLOOKUP(H241,$F$6:$I$7,2,FALSE)),2)</f>
        <v>0</v>
      </c>
      <c r="J241" s="17">
        <f t="shared" ref="J241" si="124">TRUNC(F241*I241,2)</f>
        <v>0</v>
      </c>
      <c r="K241" s="55"/>
      <c r="L241" s="8"/>
    </row>
    <row r="242" spans="1:12" s="78" customFormat="1" ht="25.5" outlineLevel="1" x14ac:dyDescent="0.2">
      <c r="A242" s="122" t="s">
        <v>859</v>
      </c>
      <c r="B242" s="88" t="s">
        <v>5</v>
      </c>
      <c r="C242" s="41" t="s">
        <v>858</v>
      </c>
      <c r="D242" s="89" t="s">
        <v>862</v>
      </c>
      <c r="E242" s="90" t="s">
        <v>11</v>
      </c>
      <c r="F242" s="46">
        <v>1153.1600000000001</v>
      </c>
      <c r="G242" s="46"/>
      <c r="H242" s="33" t="s">
        <v>29</v>
      </c>
      <c r="I242" s="17">
        <f t="shared" ref="I242" si="125">TRUNC(G242*(1+HLOOKUP(H242,$F$6:$I$7,2,FALSE)),2)</f>
        <v>0</v>
      </c>
      <c r="J242" s="17">
        <f t="shared" ref="J242" si="126">TRUNC(F242*I242,2)</f>
        <v>0</v>
      </c>
      <c r="K242" s="55"/>
      <c r="L242" s="8"/>
    </row>
    <row r="243" spans="1:12" s="78" customFormat="1" ht="25.5" outlineLevel="1" x14ac:dyDescent="0.2">
      <c r="A243" s="122" t="s">
        <v>860</v>
      </c>
      <c r="B243" s="88" t="s">
        <v>5</v>
      </c>
      <c r="C243" s="41" t="s">
        <v>858</v>
      </c>
      <c r="D243" s="89" t="s">
        <v>861</v>
      </c>
      <c r="E243" s="90" t="s">
        <v>11</v>
      </c>
      <c r="F243" s="46">
        <v>1119.4000000000001</v>
      </c>
      <c r="G243" s="46"/>
      <c r="H243" s="33" t="s">
        <v>29</v>
      </c>
      <c r="I243" s="17">
        <f t="shared" ref="I243:I248" si="127">TRUNC(G243*(1+HLOOKUP(H243,$F$6:$I$7,2,FALSE)),2)</f>
        <v>0</v>
      </c>
      <c r="J243" s="17">
        <f t="shared" ref="J243:J248" si="128">TRUNC(F243*I243,2)</f>
        <v>0</v>
      </c>
      <c r="K243" s="55"/>
      <c r="L243" s="8"/>
    </row>
    <row r="244" spans="1:12" s="78" customFormat="1" ht="38.25" outlineLevel="1" x14ac:dyDescent="0.2">
      <c r="A244" s="122" t="s">
        <v>865</v>
      </c>
      <c r="B244" s="139" t="s">
        <v>873</v>
      </c>
      <c r="C244" s="41" t="s">
        <v>870</v>
      </c>
      <c r="D244" s="89" t="s">
        <v>877</v>
      </c>
      <c r="E244" s="90" t="s">
        <v>11</v>
      </c>
      <c r="F244" s="46">
        <v>1153.1600000000001</v>
      </c>
      <c r="G244" s="46"/>
      <c r="H244" s="33" t="s">
        <v>29</v>
      </c>
      <c r="I244" s="17">
        <f t="shared" si="127"/>
        <v>0</v>
      </c>
      <c r="J244" s="17">
        <f t="shared" si="128"/>
        <v>0</v>
      </c>
      <c r="K244" s="55"/>
      <c r="L244" s="8"/>
    </row>
    <row r="245" spans="1:12" s="78" customFormat="1" ht="25.5" outlineLevel="1" x14ac:dyDescent="0.2">
      <c r="A245" s="122" t="s">
        <v>866</v>
      </c>
      <c r="B245" s="139" t="s">
        <v>873</v>
      </c>
      <c r="C245" s="41" t="s">
        <v>871</v>
      </c>
      <c r="D245" s="89" t="s">
        <v>863</v>
      </c>
      <c r="E245" s="90" t="s">
        <v>11</v>
      </c>
      <c r="F245" s="46">
        <v>936.03</v>
      </c>
      <c r="G245" s="46"/>
      <c r="H245" s="33" t="s">
        <v>29</v>
      </c>
      <c r="I245" s="17">
        <f t="shared" si="127"/>
        <v>0</v>
      </c>
      <c r="J245" s="17">
        <f t="shared" si="128"/>
        <v>0</v>
      </c>
      <c r="K245" s="55"/>
      <c r="L245" s="8"/>
    </row>
    <row r="246" spans="1:12" s="78" customFormat="1" ht="38.25" outlineLevel="1" x14ac:dyDescent="0.2">
      <c r="A246" s="122" t="s">
        <v>867</v>
      </c>
      <c r="B246" s="139" t="s">
        <v>873</v>
      </c>
      <c r="C246" s="41" t="s">
        <v>872</v>
      </c>
      <c r="D246" s="89" t="s">
        <v>864</v>
      </c>
      <c r="E246" s="90" t="s">
        <v>11</v>
      </c>
      <c r="F246" s="46">
        <v>936.03</v>
      </c>
      <c r="G246" s="46"/>
      <c r="H246" s="33" t="s">
        <v>29</v>
      </c>
      <c r="I246" s="17">
        <f t="shared" si="127"/>
        <v>0</v>
      </c>
      <c r="J246" s="17">
        <f t="shared" si="128"/>
        <v>0</v>
      </c>
      <c r="K246" s="55"/>
      <c r="L246" s="8"/>
    </row>
    <row r="247" spans="1:12" s="78" customFormat="1" ht="38.25" outlineLevel="1" x14ac:dyDescent="0.2">
      <c r="A247" s="122" t="s">
        <v>869</v>
      </c>
      <c r="B247" s="139" t="s">
        <v>7</v>
      </c>
      <c r="C247" s="41" t="s">
        <v>878</v>
      </c>
      <c r="D247" s="89" t="s">
        <v>868</v>
      </c>
      <c r="E247" s="90" t="s">
        <v>11</v>
      </c>
      <c r="F247" s="46">
        <v>183.37</v>
      </c>
      <c r="G247" s="46"/>
      <c r="H247" s="33" t="s">
        <v>29</v>
      </c>
      <c r="I247" s="17">
        <f t="shared" si="127"/>
        <v>0</v>
      </c>
      <c r="J247" s="17">
        <f t="shared" si="128"/>
        <v>0</v>
      </c>
      <c r="K247" s="55"/>
      <c r="L247" s="8"/>
    </row>
    <row r="248" spans="1:12" s="78" customFormat="1" ht="38.25" outlineLevel="1" x14ac:dyDescent="0.2">
      <c r="A248" s="122" t="s">
        <v>874</v>
      </c>
      <c r="B248" s="88" t="s">
        <v>5</v>
      </c>
      <c r="C248" s="41" t="s">
        <v>875</v>
      </c>
      <c r="D248" s="89" t="s">
        <v>876</v>
      </c>
      <c r="E248" s="90" t="s">
        <v>91</v>
      </c>
      <c r="F248" s="46">
        <v>2</v>
      </c>
      <c r="G248" s="46"/>
      <c r="H248" s="33" t="s">
        <v>29</v>
      </c>
      <c r="I248" s="17">
        <f t="shared" si="127"/>
        <v>0</v>
      </c>
      <c r="J248" s="17">
        <f t="shared" si="128"/>
        <v>0</v>
      </c>
      <c r="K248" s="55"/>
      <c r="L248" s="8"/>
    </row>
    <row r="249" spans="1:12" s="78" customFormat="1" ht="30" customHeight="1" x14ac:dyDescent="0.2">
      <c r="A249" s="63" t="s">
        <v>89</v>
      </c>
      <c r="B249" s="64"/>
      <c r="C249" s="65"/>
      <c r="D249" s="66" t="s">
        <v>742</v>
      </c>
      <c r="E249" s="67"/>
      <c r="F249" s="68"/>
      <c r="G249" s="68"/>
      <c r="H249" s="68"/>
      <c r="I249" s="68" t="s">
        <v>17</v>
      </c>
      <c r="J249" s="69">
        <f>SUM(J250:J341)</f>
        <v>0</v>
      </c>
      <c r="K249" s="70" t="e">
        <f>J249/$J$414</f>
        <v>#DIV/0!</v>
      </c>
      <c r="L249" s="8"/>
    </row>
    <row r="250" spans="1:12" s="78" customFormat="1" ht="15.75" outlineLevel="1" x14ac:dyDescent="0.2">
      <c r="A250" s="114" t="s">
        <v>103</v>
      </c>
      <c r="B250" s="115"/>
      <c r="C250" s="116"/>
      <c r="D250" s="117" t="s">
        <v>879</v>
      </c>
      <c r="E250" s="118"/>
      <c r="F250" s="119"/>
      <c r="G250" s="119"/>
      <c r="H250" s="120"/>
      <c r="I250" s="119"/>
      <c r="J250" s="119"/>
      <c r="K250" s="121"/>
      <c r="L250" s="8"/>
    </row>
    <row r="251" spans="1:12" s="78" customFormat="1" ht="63.75" outlineLevel="1" x14ac:dyDescent="0.2">
      <c r="A251" s="18" t="s">
        <v>409</v>
      </c>
      <c r="B251" s="42" t="s">
        <v>5</v>
      </c>
      <c r="C251" s="41">
        <v>90105</v>
      </c>
      <c r="D251" s="43" t="s">
        <v>417</v>
      </c>
      <c r="E251" s="44" t="s">
        <v>14</v>
      </c>
      <c r="F251" s="45">
        <v>113.28</v>
      </c>
      <c r="G251" s="46"/>
      <c r="H251" s="33" t="s">
        <v>29</v>
      </c>
      <c r="I251" s="16">
        <f t="shared" ref="I251:I252" si="129">TRUNC(G251*(1+HLOOKUP(H251,$F$6:$I$7,2,FALSE)),2)</f>
        <v>0</v>
      </c>
      <c r="J251" s="16">
        <f t="shared" ref="J251:J252" si="130">TRUNC(F251*I251,2)</f>
        <v>0</v>
      </c>
      <c r="K251" s="20"/>
      <c r="L251" s="8"/>
    </row>
    <row r="252" spans="1:12" s="78" customFormat="1" ht="76.5" outlineLevel="1" x14ac:dyDescent="0.2">
      <c r="A252" s="18" t="s">
        <v>411</v>
      </c>
      <c r="B252" s="42" t="s">
        <v>5</v>
      </c>
      <c r="C252" s="41">
        <v>93378</v>
      </c>
      <c r="D252" s="43" t="s">
        <v>418</v>
      </c>
      <c r="E252" s="44" t="s">
        <v>14</v>
      </c>
      <c r="F252" s="45">
        <v>113.28</v>
      </c>
      <c r="G252" s="46"/>
      <c r="H252" s="33" t="s">
        <v>29</v>
      </c>
      <c r="I252" s="16">
        <f t="shared" si="129"/>
        <v>0</v>
      </c>
      <c r="J252" s="16">
        <f t="shared" si="130"/>
        <v>0</v>
      </c>
      <c r="K252" s="20"/>
      <c r="L252" s="8"/>
    </row>
    <row r="253" spans="1:12" s="78" customFormat="1" ht="15.75" outlineLevel="1" x14ac:dyDescent="0.2">
      <c r="A253" s="114" t="s">
        <v>181</v>
      </c>
      <c r="B253" s="115"/>
      <c r="C253" s="116"/>
      <c r="D253" s="125" t="s">
        <v>686</v>
      </c>
      <c r="E253" s="118"/>
      <c r="F253" s="119"/>
      <c r="G253" s="119"/>
      <c r="H253" s="120"/>
      <c r="I253" s="119"/>
      <c r="J253" s="119"/>
      <c r="K253" s="121"/>
      <c r="L253" s="8"/>
    </row>
    <row r="254" spans="1:12" s="78" customFormat="1" ht="38.25" outlineLevel="1" x14ac:dyDescent="0.2">
      <c r="A254" s="18" t="s">
        <v>412</v>
      </c>
      <c r="B254" s="42" t="s">
        <v>105</v>
      </c>
      <c r="C254" s="41" t="s">
        <v>108</v>
      </c>
      <c r="D254" s="43" t="s">
        <v>107</v>
      </c>
      <c r="E254" s="44" t="s">
        <v>26</v>
      </c>
      <c r="F254" s="45">
        <v>7</v>
      </c>
      <c r="G254" s="46"/>
      <c r="H254" s="33" t="s">
        <v>29</v>
      </c>
      <c r="I254" s="16">
        <f t="shared" ref="I254:I255" si="131">TRUNC(G254*(1+HLOOKUP(H254,$F$6:$I$7,2,FALSE)),2)</f>
        <v>0</v>
      </c>
      <c r="J254" s="16">
        <f t="shared" ref="J254:J255" si="132">TRUNC(F254*I254,2)</f>
        <v>0</v>
      </c>
      <c r="K254" s="20"/>
      <c r="L254" s="8"/>
    </row>
    <row r="255" spans="1:12" s="78" customFormat="1" ht="38.25" outlineLevel="1" x14ac:dyDescent="0.2">
      <c r="A255" s="18" t="s">
        <v>618</v>
      </c>
      <c r="B255" s="42" t="s">
        <v>105</v>
      </c>
      <c r="C255" s="41" t="s">
        <v>134</v>
      </c>
      <c r="D255" s="43" t="s">
        <v>133</v>
      </c>
      <c r="E255" s="44" t="s">
        <v>26</v>
      </c>
      <c r="F255" s="45">
        <v>1</v>
      </c>
      <c r="G255" s="46"/>
      <c r="H255" s="33" t="s">
        <v>29</v>
      </c>
      <c r="I255" s="16">
        <f t="shared" si="131"/>
        <v>0</v>
      </c>
      <c r="J255" s="16">
        <f t="shared" si="132"/>
        <v>0</v>
      </c>
      <c r="K255" s="20"/>
      <c r="L255" s="8"/>
    </row>
    <row r="256" spans="1:12" s="78" customFormat="1" ht="51" outlineLevel="1" x14ac:dyDescent="0.2">
      <c r="A256" s="18" t="s">
        <v>619</v>
      </c>
      <c r="B256" s="42" t="s">
        <v>105</v>
      </c>
      <c r="C256" s="41" t="s">
        <v>136</v>
      </c>
      <c r="D256" s="43" t="s">
        <v>135</v>
      </c>
      <c r="E256" s="44" t="s">
        <v>26</v>
      </c>
      <c r="F256" s="45">
        <v>1</v>
      </c>
      <c r="G256" s="46"/>
      <c r="H256" s="33" t="s">
        <v>29</v>
      </c>
      <c r="I256" s="16">
        <f t="shared" ref="I256:I278" si="133">TRUNC(G256*(1+HLOOKUP(H256,$F$6:$I$7,2,FALSE)),2)</f>
        <v>0</v>
      </c>
      <c r="J256" s="16">
        <f t="shared" ref="J256:J278" si="134">TRUNC(F256*I256,2)</f>
        <v>0</v>
      </c>
      <c r="K256" s="20"/>
      <c r="L256" s="8"/>
    </row>
    <row r="257" spans="1:12" s="78" customFormat="1" ht="51" outlineLevel="1" x14ac:dyDescent="0.2">
      <c r="A257" s="18" t="s">
        <v>620</v>
      </c>
      <c r="B257" s="42" t="s">
        <v>105</v>
      </c>
      <c r="C257" s="41" t="s">
        <v>112</v>
      </c>
      <c r="D257" s="43" t="s">
        <v>111</v>
      </c>
      <c r="E257" s="44" t="s">
        <v>26</v>
      </c>
      <c r="F257" s="45">
        <v>2</v>
      </c>
      <c r="G257" s="46"/>
      <c r="H257" s="33" t="s">
        <v>29</v>
      </c>
      <c r="I257" s="16">
        <f t="shared" si="133"/>
        <v>0</v>
      </c>
      <c r="J257" s="16">
        <f t="shared" si="134"/>
        <v>0</v>
      </c>
      <c r="K257" s="20"/>
      <c r="L257" s="8"/>
    </row>
    <row r="258" spans="1:12" s="78" customFormat="1" ht="38.25" outlineLevel="1" x14ac:dyDescent="0.2">
      <c r="A258" s="18" t="s">
        <v>621</v>
      </c>
      <c r="B258" s="42" t="s">
        <v>105</v>
      </c>
      <c r="C258" s="41" t="s">
        <v>106</v>
      </c>
      <c r="D258" s="43" t="s">
        <v>104</v>
      </c>
      <c r="E258" s="44" t="s">
        <v>26</v>
      </c>
      <c r="F258" s="45">
        <v>1</v>
      </c>
      <c r="G258" s="46"/>
      <c r="H258" s="33" t="s">
        <v>29</v>
      </c>
      <c r="I258" s="16">
        <f t="shared" si="133"/>
        <v>0</v>
      </c>
      <c r="J258" s="16">
        <f t="shared" si="134"/>
        <v>0</v>
      </c>
      <c r="K258" s="20"/>
      <c r="L258" s="8"/>
    </row>
    <row r="259" spans="1:12" s="78" customFormat="1" ht="38.25" outlineLevel="1" x14ac:dyDescent="0.2">
      <c r="A259" s="18" t="s">
        <v>622</v>
      </c>
      <c r="B259" s="42" t="s">
        <v>105</v>
      </c>
      <c r="C259" s="41" t="s">
        <v>110</v>
      </c>
      <c r="D259" s="43" t="s">
        <v>109</v>
      </c>
      <c r="E259" s="44" t="s">
        <v>26</v>
      </c>
      <c r="F259" s="45">
        <v>1</v>
      </c>
      <c r="G259" s="46"/>
      <c r="H259" s="33" t="s">
        <v>29</v>
      </c>
      <c r="I259" s="16">
        <f t="shared" si="133"/>
        <v>0</v>
      </c>
      <c r="J259" s="16">
        <f t="shared" si="134"/>
        <v>0</v>
      </c>
      <c r="K259" s="20"/>
      <c r="L259" s="8"/>
    </row>
    <row r="260" spans="1:12" s="78" customFormat="1" ht="38.25" outlineLevel="1" x14ac:dyDescent="0.2">
      <c r="A260" s="18" t="s">
        <v>623</v>
      </c>
      <c r="B260" s="42" t="s">
        <v>105</v>
      </c>
      <c r="C260" s="41" t="s">
        <v>140</v>
      </c>
      <c r="D260" s="43" t="s">
        <v>139</v>
      </c>
      <c r="E260" s="44" t="s">
        <v>26</v>
      </c>
      <c r="F260" s="45">
        <v>2</v>
      </c>
      <c r="G260" s="46"/>
      <c r="H260" s="33" t="s">
        <v>29</v>
      </c>
      <c r="I260" s="16">
        <f t="shared" si="133"/>
        <v>0</v>
      </c>
      <c r="J260" s="16">
        <f t="shared" si="134"/>
        <v>0</v>
      </c>
      <c r="K260" s="20"/>
      <c r="L260" s="8"/>
    </row>
    <row r="261" spans="1:12" s="78" customFormat="1" ht="51" outlineLevel="1" x14ac:dyDescent="0.2">
      <c r="A261" s="18" t="s">
        <v>624</v>
      </c>
      <c r="B261" s="42" t="s">
        <v>105</v>
      </c>
      <c r="C261" s="41" t="s">
        <v>119</v>
      </c>
      <c r="D261" s="43" t="s">
        <v>118</v>
      </c>
      <c r="E261" s="44" t="s">
        <v>26</v>
      </c>
      <c r="F261" s="45">
        <v>3</v>
      </c>
      <c r="G261" s="46"/>
      <c r="H261" s="33" t="s">
        <v>29</v>
      </c>
      <c r="I261" s="16">
        <f t="shared" si="133"/>
        <v>0</v>
      </c>
      <c r="J261" s="16">
        <f t="shared" si="134"/>
        <v>0</v>
      </c>
      <c r="K261" s="20"/>
      <c r="L261" s="8"/>
    </row>
    <row r="262" spans="1:12" s="78" customFormat="1" ht="51" outlineLevel="1" x14ac:dyDescent="0.2">
      <c r="A262" s="18" t="s">
        <v>625</v>
      </c>
      <c r="B262" s="42" t="s">
        <v>105</v>
      </c>
      <c r="C262" s="41" t="s">
        <v>117</v>
      </c>
      <c r="D262" s="43" t="s">
        <v>116</v>
      </c>
      <c r="E262" s="44" t="s">
        <v>26</v>
      </c>
      <c r="F262" s="45">
        <v>2</v>
      </c>
      <c r="G262" s="46"/>
      <c r="H262" s="33" t="s">
        <v>29</v>
      </c>
      <c r="I262" s="16">
        <f t="shared" si="133"/>
        <v>0</v>
      </c>
      <c r="J262" s="16">
        <f t="shared" si="134"/>
        <v>0</v>
      </c>
      <c r="K262" s="20"/>
      <c r="L262" s="8"/>
    </row>
    <row r="263" spans="1:12" s="78" customFormat="1" ht="38.25" outlineLevel="1" x14ac:dyDescent="0.2">
      <c r="A263" s="18" t="s">
        <v>626</v>
      </c>
      <c r="B263" s="42" t="s">
        <v>105</v>
      </c>
      <c r="C263" s="41" t="s">
        <v>420</v>
      </c>
      <c r="D263" s="43" t="s">
        <v>421</v>
      </c>
      <c r="E263" s="44" t="s">
        <v>26</v>
      </c>
      <c r="F263" s="45">
        <v>1</v>
      </c>
      <c r="G263" s="46"/>
      <c r="H263" s="33" t="s">
        <v>29</v>
      </c>
      <c r="I263" s="16">
        <f t="shared" si="133"/>
        <v>0</v>
      </c>
      <c r="J263" s="16">
        <f t="shared" si="134"/>
        <v>0</v>
      </c>
      <c r="K263" s="20"/>
      <c r="L263" s="8"/>
    </row>
    <row r="264" spans="1:12" s="78" customFormat="1" ht="38.25" outlineLevel="1" x14ac:dyDescent="0.2">
      <c r="A264" s="18" t="s">
        <v>627</v>
      </c>
      <c r="B264" s="42" t="s">
        <v>105</v>
      </c>
      <c r="C264" s="41" t="s">
        <v>419</v>
      </c>
      <c r="D264" s="43" t="s">
        <v>422</v>
      </c>
      <c r="E264" s="44" t="s">
        <v>26</v>
      </c>
      <c r="F264" s="45">
        <v>1</v>
      </c>
      <c r="G264" s="46"/>
      <c r="H264" s="33" t="s">
        <v>29</v>
      </c>
      <c r="I264" s="16">
        <f t="shared" si="133"/>
        <v>0</v>
      </c>
      <c r="J264" s="16">
        <f t="shared" si="134"/>
        <v>0</v>
      </c>
      <c r="K264" s="20"/>
      <c r="L264" s="8"/>
    </row>
    <row r="265" spans="1:12" s="78" customFormat="1" ht="38.25" outlineLevel="1" x14ac:dyDescent="0.2">
      <c r="A265" s="18" t="s">
        <v>628</v>
      </c>
      <c r="B265" s="42" t="s">
        <v>105</v>
      </c>
      <c r="C265" s="41" t="s">
        <v>122</v>
      </c>
      <c r="D265" s="43" t="s">
        <v>121</v>
      </c>
      <c r="E265" s="44" t="s">
        <v>26</v>
      </c>
      <c r="F265" s="45">
        <v>2</v>
      </c>
      <c r="G265" s="46"/>
      <c r="H265" s="33" t="s">
        <v>29</v>
      </c>
      <c r="I265" s="16">
        <f t="shared" si="133"/>
        <v>0</v>
      </c>
      <c r="J265" s="16">
        <f t="shared" si="134"/>
        <v>0</v>
      </c>
      <c r="K265" s="20"/>
      <c r="L265" s="8"/>
    </row>
    <row r="266" spans="1:12" s="78" customFormat="1" ht="38.25" outlineLevel="1" x14ac:dyDescent="0.2">
      <c r="A266" s="18" t="s">
        <v>629</v>
      </c>
      <c r="B266" s="42" t="s">
        <v>105</v>
      </c>
      <c r="C266" s="41" t="s">
        <v>683</v>
      </c>
      <c r="D266" s="43" t="s">
        <v>682</v>
      </c>
      <c r="E266" s="44" t="s">
        <v>26</v>
      </c>
      <c r="F266" s="45">
        <v>1</v>
      </c>
      <c r="G266" s="46"/>
      <c r="H266" s="33" t="s">
        <v>29</v>
      </c>
      <c r="I266" s="16">
        <f t="shared" si="133"/>
        <v>0</v>
      </c>
      <c r="J266" s="16">
        <f t="shared" si="134"/>
        <v>0</v>
      </c>
      <c r="K266" s="20"/>
      <c r="L266" s="8"/>
    </row>
    <row r="267" spans="1:12" s="78" customFormat="1" ht="38.25" outlineLevel="1" x14ac:dyDescent="0.2">
      <c r="A267" s="18" t="s">
        <v>630</v>
      </c>
      <c r="B267" s="42" t="s">
        <v>105</v>
      </c>
      <c r="C267" s="41" t="s">
        <v>681</v>
      </c>
      <c r="D267" s="43" t="s">
        <v>680</v>
      </c>
      <c r="E267" s="44" t="s">
        <v>26</v>
      </c>
      <c r="F267" s="45">
        <v>1</v>
      </c>
      <c r="G267" s="46"/>
      <c r="H267" s="33" t="s">
        <v>29</v>
      </c>
      <c r="I267" s="16">
        <f t="shared" si="133"/>
        <v>0</v>
      </c>
      <c r="J267" s="16">
        <f t="shared" si="134"/>
        <v>0</v>
      </c>
      <c r="K267" s="20"/>
      <c r="L267" s="8"/>
    </row>
    <row r="268" spans="1:12" s="78" customFormat="1" ht="38.25" outlineLevel="1" x14ac:dyDescent="0.2">
      <c r="A268" s="18" t="s">
        <v>631</v>
      </c>
      <c r="B268" s="42" t="s">
        <v>105</v>
      </c>
      <c r="C268" s="41" t="s">
        <v>423</v>
      </c>
      <c r="D268" s="43" t="s">
        <v>424</v>
      </c>
      <c r="E268" s="44" t="s">
        <v>26</v>
      </c>
      <c r="F268" s="45">
        <v>10</v>
      </c>
      <c r="G268" s="46"/>
      <c r="H268" s="33" t="s">
        <v>29</v>
      </c>
      <c r="I268" s="16">
        <f t="shared" si="133"/>
        <v>0</v>
      </c>
      <c r="J268" s="16">
        <f t="shared" si="134"/>
        <v>0</v>
      </c>
      <c r="K268" s="20"/>
      <c r="L268" s="8"/>
    </row>
    <row r="269" spans="1:12" s="78" customFormat="1" ht="63.75" outlineLevel="1" x14ac:dyDescent="0.2">
      <c r="A269" s="18" t="s">
        <v>632</v>
      </c>
      <c r="B269" s="42" t="s">
        <v>105</v>
      </c>
      <c r="C269" s="41" t="s">
        <v>425</v>
      </c>
      <c r="D269" s="43" t="s">
        <v>426</v>
      </c>
      <c r="E269" s="44" t="s">
        <v>26</v>
      </c>
      <c r="F269" s="45">
        <v>2</v>
      </c>
      <c r="G269" s="46"/>
      <c r="H269" s="33" t="s">
        <v>29</v>
      </c>
      <c r="I269" s="16">
        <f t="shared" si="133"/>
        <v>0</v>
      </c>
      <c r="J269" s="16">
        <f t="shared" si="134"/>
        <v>0</v>
      </c>
      <c r="K269" s="20"/>
      <c r="L269" s="8"/>
    </row>
    <row r="270" spans="1:12" s="78" customFormat="1" ht="51" outlineLevel="1" x14ac:dyDescent="0.2">
      <c r="A270" s="18" t="s">
        <v>633</v>
      </c>
      <c r="B270" s="42" t="s">
        <v>105</v>
      </c>
      <c r="C270" s="41" t="s">
        <v>458</v>
      </c>
      <c r="D270" s="43" t="s">
        <v>684</v>
      </c>
      <c r="E270" s="44" t="s">
        <v>26</v>
      </c>
      <c r="F270" s="45">
        <v>2</v>
      </c>
      <c r="G270" s="46"/>
      <c r="H270" s="33" t="s">
        <v>29</v>
      </c>
      <c r="I270" s="16">
        <f t="shared" ref="I270" si="135">TRUNC(G270*(1+HLOOKUP(H270,$F$6:$I$7,2,FALSE)),2)</f>
        <v>0</v>
      </c>
      <c r="J270" s="16">
        <f t="shared" ref="J270" si="136">TRUNC(F270*I270,2)</f>
        <v>0</v>
      </c>
      <c r="K270" s="20"/>
      <c r="L270" s="8"/>
    </row>
    <row r="271" spans="1:12" s="78" customFormat="1" ht="38.25" outlineLevel="1" x14ac:dyDescent="0.2">
      <c r="A271" s="18" t="s">
        <v>634</v>
      </c>
      <c r="B271" s="42" t="s">
        <v>105</v>
      </c>
      <c r="C271" s="41" t="s">
        <v>685</v>
      </c>
      <c r="D271" s="43" t="s">
        <v>690</v>
      </c>
      <c r="E271" s="44" t="s">
        <v>26</v>
      </c>
      <c r="F271" s="45">
        <v>2</v>
      </c>
      <c r="G271" s="46"/>
      <c r="H271" s="33" t="s">
        <v>29</v>
      </c>
      <c r="I271" s="16">
        <f t="shared" ref="I271:I272" si="137">TRUNC(G271*(1+HLOOKUP(H271,$F$6:$I$7,2,FALSE)),2)</f>
        <v>0</v>
      </c>
      <c r="J271" s="16">
        <f t="shared" ref="J271:J272" si="138">TRUNC(F271*I271,2)</f>
        <v>0</v>
      </c>
      <c r="K271" s="20"/>
      <c r="L271" s="8"/>
    </row>
    <row r="272" spans="1:12" s="78" customFormat="1" ht="38.25" outlineLevel="1" x14ac:dyDescent="0.2">
      <c r="A272" s="18" t="s">
        <v>635</v>
      </c>
      <c r="B272" s="42" t="s">
        <v>105</v>
      </c>
      <c r="C272" s="41" t="s">
        <v>689</v>
      </c>
      <c r="D272" s="43" t="s">
        <v>688</v>
      </c>
      <c r="E272" s="44" t="s">
        <v>26</v>
      </c>
      <c r="F272" s="45">
        <v>1</v>
      </c>
      <c r="G272" s="46"/>
      <c r="H272" s="33" t="s">
        <v>29</v>
      </c>
      <c r="I272" s="16">
        <f t="shared" si="137"/>
        <v>0</v>
      </c>
      <c r="J272" s="16">
        <f t="shared" si="138"/>
        <v>0</v>
      </c>
      <c r="K272" s="20"/>
      <c r="L272" s="8"/>
    </row>
    <row r="273" spans="1:12" s="78" customFormat="1" ht="38.25" outlineLevel="1" x14ac:dyDescent="0.2">
      <c r="A273" s="18" t="s">
        <v>636</v>
      </c>
      <c r="B273" s="42" t="s">
        <v>105</v>
      </c>
      <c r="C273" s="41" t="s">
        <v>114</v>
      </c>
      <c r="D273" s="43" t="s">
        <v>113</v>
      </c>
      <c r="E273" s="44" t="s">
        <v>26</v>
      </c>
      <c r="F273" s="45">
        <v>2</v>
      </c>
      <c r="G273" s="46"/>
      <c r="H273" s="33" t="s">
        <v>29</v>
      </c>
      <c r="I273" s="16">
        <f t="shared" ref="I273" si="139">TRUNC(G273*(1+HLOOKUP(H273,$F$6:$I$7,2,FALSE)),2)</f>
        <v>0</v>
      </c>
      <c r="J273" s="16">
        <f t="shared" ref="J273" si="140">TRUNC(F273*I273,2)</f>
        <v>0</v>
      </c>
      <c r="K273" s="20"/>
      <c r="L273" s="8"/>
    </row>
    <row r="274" spans="1:12" s="78" customFormat="1" ht="38.25" outlineLevel="1" x14ac:dyDescent="0.2">
      <c r="A274" s="18" t="s">
        <v>637</v>
      </c>
      <c r="B274" s="42" t="s">
        <v>105</v>
      </c>
      <c r="C274" s="41" t="s">
        <v>115</v>
      </c>
      <c r="D274" s="43" t="s">
        <v>687</v>
      </c>
      <c r="E274" s="44" t="s">
        <v>26</v>
      </c>
      <c r="F274" s="45">
        <v>4</v>
      </c>
      <c r="G274" s="46"/>
      <c r="H274" s="33" t="s">
        <v>29</v>
      </c>
      <c r="I274" s="16">
        <f t="shared" ref="I274" si="141">TRUNC(G274*(1+HLOOKUP(H274,$F$6:$I$7,2,FALSE)),2)</f>
        <v>0</v>
      </c>
      <c r="J274" s="16">
        <f t="shared" ref="J274" si="142">TRUNC(F274*I274,2)</f>
        <v>0</v>
      </c>
      <c r="K274" s="20"/>
      <c r="L274" s="8"/>
    </row>
    <row r="275" spans="1:12" s="78" customFormat="1" ht="38.25" outlineLevel="1" x14ac:dyDescent="0.2">
      <c r="A275" s="18" t="s">
        <v>638</v>
      </c>
      <c r="B275" s="42" t="s">
        <v>105</v>
      </c>
      <c r="C275" s="41" t="s">
        <v>124</v>
      </c>
      <c r="D275" s="43" t="s">
        <v>130</v>
      </c>
      <c r="E275" s="44" t="s">
        <v>125</v>
      </c>
      <c r="F275" s="45">
        <v>18</v>
      </c>
      <c r="G275" s="46"/>
      <c r="H275" s="33" t="s">
        <v>29</v>
      </c>
      <c r="I275" s="16">
        <f t="shared" si="133"/>
        <v>0</v>
      </c>
      <c r="J275" s="16">
        <f t="shared" si="134"/>
        <v>0</v>
      </c>
      <c r="K275" s="20"/>
      <c r="L275" s="8"/>
    </row>
    <row r="276" spans="1:12" s="78" customFormat="1" ht="38.25" outlineLevel="1" x14ac:dyDescent="0.2">
      <c r="A276" s="18" t="s">
        <v>639</v>
      </c>
      <c r="B276" s="42" t="s">
        <v>105</v>
      </c>
      <c r="C276" s="41" t="s">
        <v>127</v>
      </c>
      <c r="D276" s="43" t="s">
        <v>126</v>
      </c>
      <c r="E276" s="44" t="s">
        <v>125</v>
      </c>
      <c r="F276" s="45">
        <v>23</v>
      </c>
      <c r="G276" s="46"/>
      <c r="H276" s="33" t="s">
        <v>29</v>
      </c>
      <c r="I276" s="16">
        <f t="shared" si="133"/>
        <v>0</v>
      </c>
      <c r="J276" s="16">
        <f t="shared" si="134"/>
        <v>0</v>
      </c>
      <c r="K276" s="20"/>
      <c r="L276" s="8"/>
    </row>
    <row r="277" spans="1:12" s="78" customFormat="1" ht="25.5" outlineLevel="1" x14ac:dyDescent="0.2">
      <c r="A277" s="18" t="s">
        <v>640</v>
      </c>
      <c r="B277" s="42" t="s">
        <v>105</v>
      </c>
      <c r="C277" s="41">
        <v>70140023</v>
      </c>
      <c r="D277" s="43" t="s">
        <v>123</v>
      </c>
      <c r="E277" s="44" t="s">
        <v>48</v>
      </c>
      <c r="F277" s="45">
        <v>6283.5</v>
      </c>
      <c r="G277" s="46"/>
      <c r="H277" s="33" t="s">
        <v>30</v>
      </c>
      <c r="I277" s="16">
        <f t="shared" si="133"/>
        <v>0</v>
      </c>
      <c r="J277" s="16">
        <f t="shared" si="134"/>
        <v>0</v>
      </c>
      <c r="K277" s="20"/>
      <c r="L277" s="8"/>
    </row>
    <row r="278" spans="1:12" s="78" customFormat="1" ht="25.5" outlineLevel="1" x14ac:dyDescent="0.2">
      <c r="A278" s="18" t="s">
        <v>691</v>
      </c>
      <c r="B278" s="42" t="s">
        <v>7</v>
      </c>
      <c r="C278" s="41" t="s">
        <v>96</v>
      </c>
      <c r="D278" s="43" t="str">
        <f>UPPER("Tubo de PVC rígido DEFoFo, DN= 200mm (DE= 222mm), inclusive conexões")</f>
        <v>TUBO DE PVC RÍGIDO DEFOFO, DN= 200MM (DE= 222MM), INCLUSIVE CONEXÕES</v>
      </c>
      <c r="E278" s="44"/>
      <c r="F278" s="45">
        <v>26.5</v>
      </c>
      <c r="G278" s="46"/>
      <c r="H278" s="33" t="s">
        <v>29</v>
      </c>
      <c r="I278" s="16">
        <f t="shared" si="133"/>
        <v>0</v>
      </c>
      <c r="J278" s="16">
        <f t="shared" si="134"/>
        <v>0</v>
      </c>
      <c r="K278" s="20"/>
      <c r="L278" s="8"/>
    </row>
    <row r="279" spans="1:12" s="78" customFormat="1" ht="25.5" outlineLevel="1" x14ac:dyDescent="0.2">
      <c r="A279" s="18" t="s">
        <v>692</v>
      </c>
      <c r="B279" s="42" t="s">
        <v>7</v>
      </c>
      <c r="C279" s="41" t="s">
        <v>98</v>
      </c>
      <c r="D279" s="14" t="str">
        <f>UPPER("Tubo de PVC rígido DEFoFo, DN= 300mm (DE= 326mm), inclusive conexões")</f>
        <v>TUBO DE PVC RÍGIDO DEFOFO, DN= 300MM (DE= 326MM), INCLUSIVE CONEXÕES</v>
      </c>
      <c r="E279" s="44" t="s">
        <v>13</v>
      </c>
      <c r="F279" s="45">
        <v>48.5</v>
      </c>
      <c r="G279" s="46"/>
      <c r="H279" s="33" t="s">
        <v>29</v>
      </c>
      <c r="I279" s="16">
        <f t="shared" ref="I279:I281" si="143">TRUNC(G279*(1+HLOOKUP(H279,$F$6:$I$7,2,FALSE)),2)</f>
        <v>0</v>
      </c>
      <c r="J279" s="16">
        <f t="shared" ref="J279:J281" si="144">TRUNC(F279*I279,2)</f>
        <v>0</v>
      </c>
      <c r="K279" s="20"/>
      <c r="L279" s="8"/>
    </row>
    <row r="280" spans="1:12" s="78" customFormat="1" ht="63.75" outlineLevel="1" x14ac:dyDescent="0.2">
      <c r="A280" s="18" t="s">
        <v>693</v>
      </c>
      <c r="B280" s="42" t="s">
        <v>5</v>
      </c>
      <c r="C280" s="41">
        <v>97135</v>
      </c>
      <c r="D280" s="43" t="s">
        <v>735</v>
      </c>
      <c r="E280" s="44" t="s">
        <v>13</v>
      </c>
      <c r="F280" s="45">
        <v>26.5</v>
      </c>
      <c r="G280" s="46"/>
      <c r="H280" s="33" t="s">
        <v>29</v>
      </c>
      <c r="I280" s="16">
        <f t="shared" si="143"/>
        <v>0</v>
      </c>
      <c r="J280" s="16">
        <f t="shared" si="144"/>
        <v>0</v>
      </c>
      <c r="K280" s="20"/>
      <c r="L280" s="8"/>
    </row>
    <row r="281" spans="1:12" s="78" customFormat="1" ht="63.75" outlineLevel="1" x14ac:dyDescent="0.2">
      <c r="A281" s="18" t="s">
        <v>694</v>
      </c>
      <c r="B281" s="42" t="s">
        <v>5</v>
      </c>
      <c r="C281" s="41">
        <v>97137</v>
      </c>
      <c r="D281" s="43" t="s">
        <v>736</v>
      </c>
      <c r="E281" s="44" t="s">
        <v>13</v>
      </c>
      <c r="F281" s="45">
        <v>48.5</v>
      </c>
      <c r="G281" s="46"/>
      <c r="H281" s="33" t="s">
        <v>29</v>
      </c>
      <c r="I281" s="16">
        <f t="shared" si="143"/>
        <v>0</v>
      </c>
      <c r="J281" s="16">
        <f t="shared" si="144"/>
        <v>0</v>
      </c>
      <c r="K281" s="20"/>
      <c r="L281" s="8"/>
    </row>
    <row r="282" spans="1:12" s="78" customFormat="1" ht="15.75" outlineLevel="1" x14ac:dyDescent="0.2">
      <c r="A282" s="130" t="s">
        <v>641</v>
      </c>
      <c r="B282" s="131"/>
      <c r="C282" s="132"/>
      <c r="D282" s="133" t="s">
        <v>695</v>
      </c>
      <c r="E282" s="134"/>
      <c r="F282" s="135"/>
      <c r="G282" s="135"/>
      <c r="H282" s="136"/>
      <c r="I282" s="135"/>
      <c r="J282" s="135"/>
      <c r="K282" s="137"/>
      <c r="L282" s="8"/>
    </row>
    <row r="283" spans="1:12" s="78" customFormat="1" ht="38.25" outlineLevel="1" x14ac:dyDescent="0.2">
      <c r="A283" s="122" t="s">
        <v>642</v>
      </c>
      <c r="B283" s="88" t="s">
        <v>105</v>
      </c>
      <c r="C283" s="41" t="s">
        <v>142</v>
      </c>
      <c r="D283" s="89" t="s">
        <v>141</v>
      </c>
      <c r="E283" s="90" t="s">
        <v>26</v>
      </c>
      <c r="F283" s="45">
        <v>2</v>
      </c>
      <c r="G283" s="46"/>
      <c r="H283" s="33" t="s">
        <v>29</v>
      </c>
      <c r="I283" s="17">
        <f t="shared" ref="I283" si="145">TRUNC(G283*(1+HLOOKUP(H283,$F$6:$I$7,2,FALSE)),2)</f>
        <v>0</v>
      </c>
      <c r="J283" s="17">
        <f t="shared" ref="J283" si="146">TRUNC(F283*I283,2)</f>
        <v>0</v>
      </c>
      <c r="K283" s="55"/>
      <c r="L283" s="8"/>
    </row>
    <row r="284" spans="1:12" s="78" customFormat="1" ht="38.25" outlineLevel="1" x14ac:dyDescent="0.2">
      <c r="A284" s="122" t="s">
        <v>643</v>
      </c>
      <c r="B284" s="88" t="s">
        <v>105</v>
      </c>
      <c r="C284" s="41" t="s">
        <v>696</v>
      </c>
      <c r="D284" s="89" t="s">
        <v>697</v>
      </c>
      <c r="E284" s="90" t="s">
        <v>26</v>
      </c>
      <c r="F284" s="45">
        <v>2</v>
      </c>
      <c r="G284" s="46"/>
      <c r="H284" s="33" t="s">
        <v>29</v>
      </c>
      <c r="I284" s="17">
        <f t="shared" ref="I284:I304" si="147">TRUNC(G284*(1+HLOOKUP(H284,$F$6:$I$7,2,FALSE)),2)</f>
        <v>0</v>
      </c>
      <c r="J284" s="17">
        <f t="shared" ref="J284:J304" si="148">TRUNC(F284*I284,2)</f>
        <v>0</v>
      </c>
      <c r="K284" s="55"/>
      <c r="L284" s="8"/>
    </row>
    <row r="285" spans="1:12" s="78" customFormat="1" ht="38.25" outlineLevel="1" x14ac:dyDescent="0.2">
      <c r="A285" s="122" t="s">
        <v>644</v>
      </c>
      <c r="B285" s="88" t="s">
        <v>105</v>
      </c>
      <c r="C285" s="41" t="s">
        <v>132</v>
      </c>
      <c r="D285" s="89" t="s">
        <v>131</v>
      </c>
      <c r="E285" s="90" t="s">
        <v>26</v>
      </c>
      <c r="F285" s="45">
        <v>2</v>
      </c>
      <c r="G285" s="46"/>
      <c r="H285" s="33" t="s">
        <v>29</v>
      </c>
      <c r="I285" s="17">
        <f t="shared" si="147"/>
        <v>0</v>
      </c>
      <c r="J285" s="17">
        <f t="shared" si="148"/>
        <v>0</v>
      </c>
      <c r="K285" s="55"/>
      <c r="L285" s="8"/>
    </row>
    <row r="286" spans="1:12" s="78" customFormat="1" ht="38.25" outlineLevel="1" x14ac:dyDescent="0.2">
      <c r="A286" s="122" t="s">
        <v>645</v>
      </c>
      <c r="B286" s="88" t="s">
        <v>105</v>
      </c>
      <c r="C286" s="41" t="s">
        <v>699</v>
      </c>
      <c r="D286" s="89" t="s">
        <v>698</v>
      </c>
      <c r="E286" s="90" t="s">
        <v>26</v>
      </c>
      <c r="F286" s="45">
        <v>1</v>
      </c>
      <c r="G286" s="46"/>
      <c r="H286" s="33" t="s">
        <v>29</v>
      </c>
      <c r="I286" s="17">
        <f t="shared" si="147"/>
        <v>0</v>
      </c>
      <c r="J286" s="17">
        <f t="shared" si="148"/>
        <v>0</v>
      </c>
      <c r="K286" s="55"/>
      <c r="L286" s="8"/>
    </row>
    <row r="287" spans="1:12" s="78" customFormat="1" ht="38.25" outlineLevel="1" x14ac:dyDescent="0.2">
      <c r="A287" s="122" t="s">
        <v>646</v>
      </c>
      <c r="B287" s="88" t="s">
        <v>105</v>
      </c>
      <c r="C287" s="41" t="s">
        <v>701</v>
      </c>
      <c r="D287" s="89" t="s">
        <v>700</v>
      </c>
      <c r="E287" s="90" t="s">
        <v>26</v>
      </c>
      <c r="F287" s="45">
        <v>1</v>
      </c>
      <c r="G287" s="46"/>
      <c r="H287" s="33" t="s">
        <v>29</v>
      </c>
      <c r="I287" s="17">
        <f t="shared" si="147"/>
        <v>0</v>
      </c>
      <c r="J287" s="17">
        <f t="shared" si="148"/>
        <v>0</v>
      </c>
      <c r="K287" s="55"/>
      <c r="L287" s="8"/>
    </row>
    <row r="288" spans="1:12" s="78" customFormat="1" ht="38.25" outlineLevel="1" x14ac:dyDescent="0.2">
      <c r="A288" s="122" t="s">
        <v>647</v>
      </c>
      <c r="B288" s="88" t="s">
        <v>105</v>
      </c>
      <c r="C288" s="41" t="s">
        <v>435</v>
      </c>
      <c r="D288" s="89" t="s">
        <v>436</v>
      </c>
      <c r="E288" s="90" t="s">
        <v>26</v>
      </c>
      <c r="F288" s="45">
        <v>2</v>
      </c>
      <c r="G288" s="46"/>
      <c r="H288" s="33" t="s">
        <v>29</v>
      </c>
      <c r="I288" s="17">
        <f t="shared" si="147"/>
        <v>0</v>
      </c>
      <c r="J288" s="17">
        <f t="shared" si="148"/>
        <v>0</v>
      </c>
      <c r="K288" s="55"/>
      <c r="L288" s="8"/>
    </row>
    <row r="289" spans="1:12" s="78" customFormat="1" ht="38.25" outlineLevel="1" x14ac:dyDescent="0.2">
      <c r="A289" s="122" t="s">
        <v>648</v>
      </c>
      <c r="B289" s="88" t="s">
        <v>105</v>
      </c>
      <c r="C289" s="41" t="s">
        <v>703</v>
      </c>
      <c r="D289" s="89" t="s">
        <v>702</v>
      </c>
      <c r="E289" s="90" t="s">
        <v>26</v>
      </c>
      <c r="F289" s="45">
        <v>1</v>
      </c>
      <c r="G289" s="46"/>
      <c r="H289" s="33" t="s">
        <v>29</v>
      </c>
      <c r="I289" s="17">
        <f t="shared" si="147"/>
        <v>0</v>
      </c>
      <c r="J289" s="17">
        <f t="shared" si="148"/>
        <v>0</v>
      </c>
      <c r="K289" s="55"/>
      <c r="L289" s="8"/>
    </row>
    <row r="290" spans="1:12" s="78" customFormat="1" ht="38.25" outlineLevel="1" x14ac:dyDescent="0.2">
      <c r="A290" s="122" t="s">
        <v>649</v>
      </c>
      <c r="B290" s="88" t="s">
        <v>105</v>
      </c>
      <c r="C290" s="41" t="s">
        <v>705</v>
      </c>
      <c r="D290" s="89" t="s">
        <v>704</v>
      </c>
      <c r="E290" s="90" t="s">
        <v>26</v>
      </c>
      <c r="F290" s="45">
        <v>1</v>
      </c>
      <c r="G290" s="46"/>
      <c r="H290" s="33" t="s">
        <v>29</v>
      </c>
      <c r="I290" s="17">
        <f t="shared" ref="I290:I299" si="149">TRUNC(G290*(1+HLOOKUP(H290,$F$6:$I$7,2,FALSE)),2)</f>
        <v>0</v>
      </c>
      <c r="J290" s="17">
        <f t="shared" ref="J290:J299" si="150">TRUNC(F290*I290,2)</f>
        <v>0</v>
      </c>
      <c r="K290" s="55"/>
      <c r="L290" s="8"/>
    </row>
    <row r="291" spans="1:12" s="78" customFormat="1" ht="51" outlineLevel="1" x14ac:dyDescent="0.2">
      <c r="A291" s="122" t="s">
        <v>650</v>
      </c>
      <c r="B291" s="88" t="s">
        <v>105</v>
      </c>
      <c r="C291" s="41" t="s">
        <v>137</v>
      </c>
      <c r="D291" s="89" t="s">
        <v>138</v>
      </c>
      <c r="E291" s="90" t="s">
        <v>26</v>
      </c>
      <c r="F291" s="45">
        <v>2</v>
      </c>
      <c r="G291" s="46"/>
      <c r="H291" s="33" t="s">
        <v>29</v>
      </c>
      <c r="I291" s="17">
        <f t="shared" si="149"/>
        <v>0</v>
      </c>
      <c r="J291" s="17">
        <f t="shared" si="150"/>
        <v>0</v>
      </c>
      <c r="K291" s="55"/>
      <c r="L291" s="8"/>
    </row>
    <row r="292" spans="1:12" s="78" customFormat="1" ht="63.75" outlineLevel="1" x14ac:dyDescent="0.2">
      <c r="A292" s="122" t="s">
        <v>651</v>
      </c>
      <c r="B292" s="88" t="s">
        <v>105</v>
      </c>
      <c r="C292" s="41" t="s">
        <v>706</v>
      </c>
      <c r="D292" s="89" t="s">
        <v>711</v>
      </c>
      <c r="E292" s="90" t="s">
        <v>26</v>
      </c>
      <c r="F292" s="45">
        <v>2</v>
      </c>
      <c r="G292" s="46"/>
      <c r="H292" s="33" t="s">
        <v>29</v>
      </c>
      <c r="I292" s="17">
        <f t="shared" si="149"/>
        <v>0</v>
      </c>
      <c r="J292" s="17">
        <f t="shared" si="150"/>
        <v>0</v>
      </c>
      <c r="K292" s="55"/>
      <c r="L292" s="8"/>
    </row>
    <row r="293" spans="1:12" s="78" customFormat="1" ht="38.25" outlineLevel="1" x14ac:dyDescent="0.2">
      <c r="A293" s="122" t="s">
        <v>652</v>
      </c>
      <c r="B293" s="88" t="s">
        <v>105</v>
      </c>
      <c r="C293" s="41" t="s">
        <v>140</v>
      </c>
      <c r="D293" s="89" t="s">
        <v>139</v>
      </c>
      <c r="E293" s="90" t="s">
        <v>26</v>
      </c>
      <c r="F293" s="45">
        <v>2</v>
      </c>
      <c r="G293" s="46"/>
      <c r="H293" s="33" t="s">
        <v>29</v>
      </c>
      <c r="I293" s="17">
        <f t="shared" si="149"/>
        <v>0</v>
      </c>
      <c r="J293" s="17">
        <f t="shared" si="150"/>
        <v>0</v>
      </c>
      <c r="K293" s="55"/>
      <c r="L293" s="8"/>
    </row>
    <row r="294" spans="1:12" s="78" customFormat="1" ht="38.25" outlineLevel="1" x14ac:dyDescent="0.2">
      <c r="A294" s="122" t="s">
        <v>653</v>
      </c>
      <c r="B294" s="88" t="s">
        <v>105</v>
      </c>
      <c r="C294" s="41" t="s">
        <v>108</v>
      </c>
      <c r="D294" s="89" t="s">
        <v>107</v>
      </c>
      <c r="E294" s="90" t="s">
        <v>26</v>
      </c>
      <c r="F294" s="45">
        <v>2</v>
      </c>
      <c r="G294" s="46"/>
      <c r="H294" s="33" t="s">
        <v>29</v>
      </c>
      <c r="I294" s="17">
        <f t="shared" si="149"/>
        <v>0</v>
      </c>
      <c r="J294" s="17">
        <f t="shared" si="150"/>
        <v>0</v>
      </c>
      <c r="K294" s="55"/>
      <c r="L294" s="8"/>
    </row>
    <row r="295" spans="1:12" s="78" customFormat="1" ht="38.25" outlineLevel="1" x14ac:dyDescent="0.2">
      <c r="A295" s="122" t="s">
        <v>654</v>
      </c>
      <c r="B295" s="88" t="s">
        <v>105</v>
      </c>
      <c r="C295" s="41" t="s">
        <v>708</v>
      </c>
      <c r="D295" s="89" t="s">
        <v>707</v>
      </c>
      <c r="E295" s="90" t="s">
        <v>26</v>
      </c>
      <c r="F295" s="45">
        <v>2</v>
      </c>
      <c r="G295" s="46"/>
      <c r="H295" s="33" t="s">
        <v>29</v>
      </c>
      <c r="I295" s="17">
        <f t="shared" si="149"/>
        <v>0</v>
      </c>
      <c r="J295" s="17">
        <f t="shared" si="150"/>
        <v>0</v>
      </c>
      <c r="K295" s="55"/>
      <c r="L295" s="8"/>
    </row>
    <row r="296" spans="1:12" s="78" customFormat="1" ht="38.25" outlineLevel="1" x14ac:dyDescent="0.2">
      <c r="A296" s="122" t="s">
        <v>655</v>
      </c>
      <c r="B296" s="88" t="s">
        <v>105</v>
      </c>
      <c r="C296" s="41" t="s">
        <v>710</v>
      </c>
      <c r="D296" s="89" t="s">
        <v>709</v>
      </c>
      <c r="E296" s="90" t="s">
        <v>26</v>
      </c>
      <c r="F296" s="45">
        <v>1</v>
      </c>
      <c r="G296" s="46"/>
      <c r="H296" s="33" t="s">
        <v>29</v>
      </c>
      <c r="I296" s="17">
        <f t="shared" si="149"/>
        <v>0</v>
      </c>
      <c r="J296" s="17">
        <f t="shared" si="150"/>
        <v>0</v>
      </c>
      <c r="K296" s="55"/>
      <c r="L296" s="8"/>
    </row>
    <row r="297" spans="1:12" s="78" customFormat="1" ht="63.75" outlineLevel="1" x14ac:dyDescent="0.2">
      <c r="A297" s="122" t="s">
        <v>656</v>
      </c>
      <c r="B297" s="88" t="s">
        <v>105</v>
      </c>
      <c r="C297" s="41" t="s">
        <v>717</v>
      </c>
      <c r="D297" s="89" t="s">
        <v>716</v>
      </c>
      <c r="E297" s="90" t="s">
        <v>26</v>
      </c>
      <c r="F297" s="45">
        <v>2</v>
      </c>
      <c r="G297" s="46"/>
      <c r="H297" s="33" t="s">
        <v>29</v>
      </c>
      <c r="I297" s="17">
        <f t="shared" si="149"/>
        <v>0</v>
      </c>
      <c r="J297" s="17">
        <f t="shared" si="150"/>
        <v>0</v>
      </c>
      <c r="K297" s="55"/>
      <c r="L297" s="8"/>
    </row>
    <row r="298" spans="1:12" s="78" customFormat="1" ht="51" outlineLevel="1" x14ac:dyDescent="0.2">
      <c r="A298" s="122" t="s">
        <v>657</v>
      </c>
      <c r="B298" s="88" t="s">
        <v>105</v>
      </c>
      <c r="C298" s="41" t="s">
        <v>119</v>
      </c>
      <c r="D298" s="89" t="s">
        <v>118</v>
      </c>
      <c r="E298" s="90" t="s">
        <v>26</v>
      </c>
      <c r="F298" s="45">
        <v>2</v>
      </c>
      <c r="G298" s="46"/>
      <c r="H298" s="33" t="s">
        <v>29</v>
      </c>
      <c r="I298" s="17">
        <f t="shared" si="149"/>
        <v>0</v>
      </c>
      <c r="J298" s="17">
        <f t="shared" si="150"/>
        <v>0</v>
      </c>
      <c r="K298" s="55"/>
      <c r="L298" s="8"/>
    </row>
    <row r="299" spans="1:12" s="78" customFormat="1" ht="38.25" outlineLevel="1" x14ac:dyDescent="0.2">
      <c r="A299" s="122" t="s">
        <v>658</v>
      </c>
      <c r="B299" s="88" t="s">
        <v>105</v>
      </c>
      <c r="C299" s="41" t="s">
        <v>713</v>
      </c>
      <c r="D299" s="89" t="s">
        <v>712</v>
      </c>
      <c r="E299" s="90" t="s">
        <v>26</v>
      </c>
      <c r="F299" s="45">
        <v>2</v>
      </c>
      <c r="G299" s="46"/>
      <c r="H299" s="33" t="s">
        <v>29</v>
      </c>
      <c r="I299" s="17">
        <f t="shared" si="149"/>
        <v>0</v>
      </c>
      <c r="J299" s="17">
        <f t="shared" si="150"/>
        <v>0</v>
      </c>
      <c r="K299" s="55"/>
      <c r="L299" s="8"/>
    </row>
    <row r="300" spans="1:12" s="78" customFormat="1" ht="38.25" outlineLevel="1" x14ac:dyDescent="0.2">
      <c r="A300" s="122" t="s">
        <v>659</v>
      </c>
      <c r="B300" s="88" t="s">
        <v>105</v>
      </c>
      <c r="C300" s="41" t="s">
        <v>715</v>
      </c>
      <c r="D300" s="89" t="s">
        <v>714</v>
      </c>
      <c r="E300" s="90" t="s">
        <v>26</v>
      </c>
      <c r="F300" s="45">
        <v>1</v>
      </c>
      <c r="G300" s="46"/>
      <c r="H300" s="33" t="s">
        <v>29</v>
      </c>
      <c r="I300" s="17">
        <f t="shared" si="147"/>
        <v>0</v>
      </c>
      <c r="J300" s="17">
        <f t="shared" si="148"/>
        <v>0</v>
      </c>
      <c r="K300" s="55"/>
      <c r="L300" s="8"/>
    </row>
    <row r="301" spans="1:12" s="78" customFormat="1" ht="38.25" outlineLevel="1" x14ac:dyDescent="0.2">
      <c r="A301" s="122" t="s">
        <v>660</v>
      </c>
      <c r="B301" s="88" t="s">
        <v>105</v>
      </c>
      <c r="C301" s="41" t="s">
        <v>120</v>
      </c>
      <c r="D301" s="89" t="s">
        <v>718</v>
      </c>
      <c r="E301" s="90" t="s">
        <v>26</v>
      </c>
      <c r="F301" s="45">
        <v>2</v>
      </c>
      <c r="G301" s="46"/>
      <c r="H301" s="33" t="s">
        <v>29</v>
      </c>
      <c r="I301" s="17">
        <f t="shared" si="147"/>
        <v>0</v>
      </c>
      <c r="J301" s="17">
        <f t="shared" si="148"/>
        <v>0</v>
      </c>
      <c r="K301" s="55"/>
      <c r="L301" s="8"/>
    </row>
    <row r="302" spans="1:12" s="78" customFormat="1" ht="38.25" outlineLevel="1" x14ac:dyDescent="0.2">
      <c r="A302" s="122" t="s">
        <v>661</v>
      </c>
      <c r="B302" s="88" t="s">
        <v>105</v>
      </c>
      <c r="C302" s="41" t="s">
        <v>720</v>
      </c>
      <c r="D302" s="89" t="s">
        <v>719</v>
      </c>
      <c r="E302" s="90" t="s">
        <v>26</v>
      </c>
      <c r="F302" s="45">
        <v>1</v>
      </c>
      <c r="G302" s="46"/>
      <c r="H302" s="33" t="s">
        <v>29</v>
      </c>
      <c r="I302" s="17">
        <f t="shared" si="147"/>
        <v>0</v>
      </c>
      <c r="J302" s="17">
        <f t="shared" si="148"/>
        <v>0</v>
      </c>
      <c r="K302" s="55"/>
      <c r="L302" s="8"/>
    </row>
    <row r="303" spans="1:12" s="78" customFormat="1" ht="38.25" outlineLevel="1" x14ac:dyDescent="0.2">
      <c r="A303" s="122" t="s">
        <v>662</v>
      </c>
      <c r="B303" s="88" t="s">
        <v>105</v>
      </c>
      <c r="C303" s="41" t="s">
        <v>696</v>
      </c>
      <c r="D303" s="89" t="s">
        <v>697</v>
      </c>
      <c r="E303" s="90" t="s">
        <v>26</v>
      </c>
      <c r="F303" s="45">
        <v>1</v>
      </c>
      <c r="G303" s="46"/>
      <c r="H303" s="33" t="s">
        <v>29</v>
      </c>
      <c r="I303" s="17">
        <f t="shared" si="147"/>
        <v>0</v>
      </c>
      <c r="J303" s="17">
        <f t="shared" si="148"/>
        <v>0</v>
      </c>
      <c r="K303" s="55"/>
      <c r="L303" s="8"/>
    </row>
    <row r="304" spans="1:12" s="78" customFormat="1" ht="38.25" outlineLevel="1" x14ac:dyDescent="0.2">
      <c r="A304" s="122" t="s">
        <v>663</v>
      </c>
      <c r="B304" s="88" t="s">
        <v>105</v>
      </c>
      <c r="C304" s="41" t="s">
        <v>726</v>
      </c>
      <c r="D304" s="89" t="s">
        <v>725</v>
      </c>
      <c r="E304" s="90" t="s">
        <v>26</v>
      </c>
      <c r="F304" s="45">
        <v>1</v>
      </c>
      <c r="G304" s="46"/>
      <c r="H304" s="33" t="s">
        <v>29</v>
      </c>
      <c r="I304" s="17">
        <f t="shared" si="147"/>
        <v>0</v>
      </c>
      <c r="J304" s="17">
        <f t="shared" si="148"/>
        <v>0</v>
      </c>
      <c r="K304" s="55"/>
      <c r="L304" s="8"/>
    </row>
    <row r="305" spans="1:12" s="78" customFormat="1" ht="38.25" outlineLevel="1" x14ac:dyDescent="0.2">
      <c r="A305" s="122" t="s">
        <v>721</v>
      </c>
      <c r="B305" s="88" t="s">
        <v>105</v>
      </c>
      <c r="C305" s="41" t="s">
        <v>460</v>
      </c>
      <c r="D305" s="89" t="s">
        <v>459</v>
      </c>
      <c r="E305" s="90" t="s">
        <v>26</v>
      </c>
      <c r="F305" s="45">
        <v>3</v>
      </c>
      <c r="G305" s="46"/>
      <c r="H305" s="33" t="s">
        <v>29</v>
      </c>
      <c r="I305" s="17">
        <f t="shared" ref="I305:I307" si="151">TRUNC(G305*(1+HLOOKUP(H305,$F$6:$I$7,2,FALSE)),2)</f>
        <v>0</v>
      </c>
      <c r="J305" s="17">
        <f t="shared" ref="J305:J315" si="152">TRUNC(F305*I305,2)</f>
        <v>0</v>
      </c>
      <c r="K305" s="55"/>
      <c r="L305" s="8"/>
    </row>
    <row r="306" spans="1:12" s="78" customFormat="1" ht="38.25" outlineLevel="1" x14ac:dyDescent="0.2">
      <c r="A306" s="122" t="s">
        <v>722</v>
      </c>
      <c r="B306" s="88" t="s">
        <v>105</v>
      </c>
      <c r="C306" s="41" t="s">
        <v>728</v>
      </c>
      <c r="D306" s="89" t="s">
        <v>727</v>
      </c>
      <c r="E306" s="90" t="s">
        <v>26</v>
      </c>
      <c r="F306" s="45">
        <v>1</v>
      </c>
      <c r="G306" s="46"/>
      <c r="H306" s="33" t="s">
        <v>29</v>
      </c>
      <c r="I306" s="17">
        <f t="shared" si="151"/>
        <v>0</v>
      </c>
      <c r="J306" s="17">
        <f t="shared" si="152"/>
        <v>0</v>
      </c>
      <c r="K306" s="55"/>
      <c r="L306" s="8"/>
    </row>
    <row r="307" spans="1:12" s="78" customFormat="1" ht="38.25" outlineLevel="1" x14ac:dyDescent="0.2">
      <c r="A307" s="122" t="s">
        <v>723</v>
      </c>
      <c r="B307" s="88" t="s">
        <v>105</v>
      </c>
      <c r="C307" s="41" t="s">
        <v>124</v>
      </c>
      <c r="D307" s="89" t="s">
        <v>130</v>
      </c>
      <c r="E307" s="90" t="s">
        <v>125</v>
      </c>
      <c r="F307" s="46">
        <v>18</v>
      </c>
      <c r="G307" s="46"/>
      <c r="H307" s="33" t="s">
        <v>30</v>
      </c>
      <c r="I307" s="17">
        <f t="shared" si="151"/>
        <v>0</v>
      </c>
      <c r="J307" s="17">
        <f t="shared" si="152"/>
        <v>0</v>
      </c>
      <c r="K307" s="55"/>
      <c r="L307" s="8"/>
    </row>
    <row r="308" spans="1:12" s="78" customFormat="1" ht="38.25" outlineLevel="1" x14ac:dyDescent="0.2">
      <c r="A308" s="122" t="s">
        <v>724</v>
      </c>
      <c r="B308" s="88" t="s">
        <v>105</v>
      </c>
      <c r="C308" s="41" t="s">
        <v>129</v>
      </c>
      <c r="D308" s="89" t="s">
        <v>128</v>
      </c>
      <c r="E308" s="90" t="s">
        <v>125</v>
      </c>
      <c r="F308" s="46">
        <v>13</v>
      </c>
      <c r="G308" s="46"/>
      <c r="H308" s="33" t="s">
        <v>30</v>
      </c>
      <c r="I308" s="17">
        <f>TRUNC(G308*(1+HLOOKUP(H308,$F$6:$I$7,2,FALSE)),2)</f>
        <v>0</v>
      </c>
      <c r="J308" s="17">
        <f t="shared" si="152"/>
        <v>0</v>
      </c>
      <c r="K308" s="55"/>
      <c r="L308" s="8"/>
    </row>
    <row r="309" spans="1:12" s="78" customFormat="1" ht="38.25" outlineLevel="1" x14ac:dyDescent="0.2">
      <c r="A309" s="122" t="s">
        <v>729</v>
      </c>
      <c r="B309" s="88" t="s">
        <v>105</v>
      </c>
      <c r="C309" s="41" t="s">
        <v>144</v>
      </c>
      <c r="D309" s="89" t="s">
        <v>143</v>
      </c>
      <c r="E309" s="90" t="s">
        <v>125</v>
      </c>
      <c r="F309" s="46">
        <v>4</v>
      </c>
      <c r="G309" s="46"/>
      <c r="H309" s="33" t="s">
        <v>30</v>
      </c>
      <c r="I309" s="17">
        <f>TRUNC(G309*(1+HLOOKUP(H309,$F$6:$I$7,2,FALSE)),2)</f>
        <v>0</v>
      </c>
      <c r="J309" s="17">
        <f t="shared" si="152"/>
        <v>0</v>
      </c>
      <c r="K309" s="55"/>
      <c r="L309" s="8"/>
    </row>
    <row r="310" spans="1:12" s="78" customFormat="1" ht="25.5" outlineLevel="1" x14ac:dyDescent="0.2">
      <c r="A310" s="122" t="s">
        <v>730</v>
      </c>
      <c r="B310" s="88" t="s">
        <v>105</v>
      </c>
      <c r="C310" s="41">
        <v>70140023</v>
      </c>
      <c r="D310" s="89" t="s">
        <v>123</v>
      </c>
      <c r="E310" s="90" t="s">
        <v>48</v>
      </c>
      <c r="F310" s="46">
        <v>2499.3200000000002</v>
      </c>
      <c r="G310" s="46"/>
      <c r="H310" s="33" t="s">
        <v>30</v>
      </c>
      <c r="I310" s="17">
        <f t="shared" ref="I310:I315" si="153">TRUNC(G310*(1+HLOOKUP(H310,$F$6:$I$7,2,FALSE)),2)</f>
        <v>0</v>
      </c>
      <c r="J310" s="17">
        <f t="shared" si="152"/>
        <v>0</v>
      </c>
      <c r="K310" s="55"/>
      <c r="L310" s="8"/>
    </row>
    <row r="311" spans="1:12" s="78" customFormat="1" ht="25.5" outlineLevel="1" x14ac:dyDescent="0.2">
      <c r="A311" s="122" t="s">
        <v>731</v>
      </c>
      <c r="B311" s="82" t="s">
        <v>7</v>
      </c>
      <c r="C311" s="12" t="s">
        <v>96</v>
      </c>
      <c r="D311" s="83" t="str">
        <f>UPPER("Tubo de PVC rígido DEFoFo, DN= 200mm (DE= 222mm), inclusive conexões")</f>
        <v>TUBO DE PVC RÍGIDO DEFOFO, DN= 200MM (DE= 222MM), INCLUSIVE CONEXÕES</v>
      </c>
      <c r="E311" s="84" t="s">
        <v>13</v>
      </c>
      <c r="F311" s="46">
        <v>6</v>
      </c>
      <c r="G311" s="46"/>
      <c r="H311" s="33" t="s">
        <v>29</v>
      </c>
      <c r="I311" s="17">
        <f t="shared" si="153"/>
        <v>0</v>
      </c>
      <c r="J311" s="17">
        <f t="shared" si="152"/>
        <v>0</v>
      </c>
      <c r="K311" s="55"/>
      <c r="L311" s="8"/>
    </row>
    <row r="312" spans="1:12" s="78" customFormat="1" ht="25.5" outlineLevel="1" x14ac:dyDescent="0.2">
      <c r="A312" s="122" t="s">
        <v>732</v>
      </c>
      <c r="B312" s="88" t="s">
        <v>7</v>
      </c>
      <c r="C312" s="41" t="s">
        <v>97</v>
      </c>
      <c r="D312" s="83" t="str">
        <f>UPPER("Tubo de PVC rígido DEFoFo, DN= 250mm (DE= 274mm), inclusive conexões")</f>
        <v>TUBO DE PVC RÍGIDO DEFOFO, DN= 250MM (DE= 274MM), INCLUSIVE CONEXÕES</v>
      </c>
      <c r="E312" s="90" t="s">
        <v>13</v>
      </c>
      <c r="F312" s="46">
        <v>15.1</v>
      </c>
      <c r="G312" s="46"/>
      <c r="H312" s="33" t="s">
        <v>29</v>
      </c>
      <c r="I312" s="17">
        <f t="shared" si="153"/>
        <v>0</v>
      </c>
      <c r="J312" s="17">
        <f t="shared" si="152"/>
        <v>0</v>
      </c>
      <c r="K312" s="55"/>
      <c r="L312" s="8"/>
    </row>
    <row r="313" spans="1:12" s="78" customFormat="1" ht="38.25" outlineLevel="1" x14ac:dyDescent="0.2">
      <c r="A313" s="122" t="s">
        <v>733</v>
      </c>
      <c r="B313" s="42" t="s">
        <v>105</v>
      </c>
      <c r="C313" s="41" t="s">
        <v>163</v>
      </c>
      <c r="D313" s="43" t="s">
        <v>164</v>
      </c>
      <c r="E313" s="44" t="s">
        <v>26</v>
      </c>
      <c r="F313" s="45">
        <v>1</v>
      </c>
      <c r="G313" s="46"/>
      <c r="H313" s="33" t="s">
        <v>29</v>
      </c>
      <c r="I313" s="16">
        <f t="shared" si="153"/>
        <v>0</v>
      </c>
      <c r="J313" s="16">
        <f t="shared" si="152"/>
        <v>0</v>
      </c>
      <c r="K313" s="55"/>
      <c r="L313" s="8"/>
    </row>
    <row r="314" spans="1:12" s="78" customFormat="1" ht="63.75" outlineLevel="1" x14ac:dyDescent="0.2">
      <c r="A314" s="122" t="s">
        <v>734</v>
      </c>
      <c r="B314" s="42" t="s">
        <v>5</v>
      </c>
      <c r="C314" s="41">
        <v>97135</v>
      </c>
      <c r="D314" s="43" t="s">
        <v>735</v>
      </c>
      <c r="E314" s="44" t="s">
        <v>13</v>
      </c>
      <c r="F314" s="45">
        <v>6</v>
      </c>
      <c r="G314" s="46"/>
      <c r="H314" s="33" t="s">
        <v>29</v>
      </c>
      <c r="I314" s="16">
        <f t="shared" si="153"/>
        <v>0</v>
      </c>
      <c r="J314" s="16">
        <f t="shared" si="152"/>
        <v>0</v>
      </c>
      <c r="K314" s="20"/>
      <c r="L314" s="8"/>
    </row>
    <row r="315" spans="1:12" s="78" customFormat="1" ht="63.75" outlineLevel="1" x14ac:dyDescent="0.2">
      <c r="A315" s="122" t="s">
        <v>741</v>
      </c>
      <c r="B315" s="88" t="s">
        <v>5</v>
      </c>
      <c r="C315" s="41">
        <v>97136</v>
      </c>
      <c r="D315" s="89" t="s">
        <v>737</v>
      </c>
      <c r="E315" s="90" t="s">
        <v>13</v>
      </c>
      <c r="F315" s="45">
        <v>15.1</v>
      </c>
      <c r="G315" s="46"/>
      <c r="H315" s="33" t="s">
        <v>29</v>
      </c>
      <c r="I315" s="17">
        <f t="shared" si="153"/>
        <v>0</v>
      </c>
      <c r="J315" s="17">
        <f t="shared" si="152"/>
        <v>0</v>
      </c>
      <c r="K315" s="55"/>
      <c r="L315" s="8"/>
    </row>
    <row r="316" spans="1:12" s="78" customFormat="1" ht="15.75" outlineLevel="1" x14ac:dyDescent="0.2">
      <c r="A316" s="122"/>
      <c r="B316" s="88"/>
      <c r="C316" s="41"/>
      <c r="D316" s="100" t="s">
        <v>738</v>
      </c>
      <c r="E316" s="90"/>
      <c r="F316" s="45"/>
      <c r="G316" s="46"/>
      <c r="H316" s="33"/>
      <c r="I316" s="17"/>
      <c r="J316" s="17"/>
      <c r="K316" s="55"/>
      <c r="L316" s="8"/>
    </row>
    <row r="317" spans="1:12" s="187" customFormat="1" ht="38.25" outlineLevel="1" x14ac:dyDescent="0.2">
      <c r="A317" s="122" t="s">
        <v>745</v>
      </c>
      <c r="B317" s="88" t="s">
        <v>739</v>
      </c>
      <c r="C317" s="41" t="s">
        <v>740</v>
      </c>
      <c r="D317" s="89" t="s">
        <v>920</v>
      </c>
      <c r="E317" s="90" t="s">
        <v>125</v>
      </c>
      <c r="F317" s="46">
        <v>2</v>
      </c>
      <c r="G317" s="46"/>
      <c r="H317" s="33" t="s">
        <v>29</v>
      </c>
      <c r="I317" s="17">
        <f t="shared" ref="I317" si="154">TRUNC(G317*(1+HLOOKUP(H317,$F$6:$I$7,2,FALSE)),2)</f>
        <v>0</v>
      </c>
      <c r="J317" s="17">
        <f t="shared" ref="J317" si="155">TRUNC(F317*I317,2)</f>
        <v>0</v>
      </c>
      <c r="K317" s="55"/>
      <c r="L317" s="186"/>
    </row>
    <row r="318" spans="1:12" s="78" customFormat="1" ht="15.75" outlineLevel="1" x14ac:dyDescent="0.2">
      <c r="A318" s="114" t="s">
        <v>664</v>
      </c>
      <c r="B318" s="115"/>
      <c r="C318" s="116"/>
      <c r="D318" s="125" t="s">
        <v>802</v>
      </c>
      <c r="E318" s="118"/>
      <c r="F318" s="119"/>
      <c r="G318" s="119"/>
      <c r="H318" s="120"/>
      <c r="I318" s="119"/>
      <c r="J318" s="119"/>
      <c r="K318" s="121"/>
      <c r="L318" s="8"/>
    </row>
    <row r="319" spans="1:12" s="78" customFormat="1" ht="38.25" outlineLevel="1" x14ac:dyDescent="0.2">
      <c r="A319" s="18" t="s">
        <v>665</v>
      </c>
      <c r="B319" s="88" t="s">
        <v>105</v>
      </c>
      <c r="C319" s="41" t="s">
        <v>142</v>
      </c>
      <c r="D319" s="89" t="s">
        <v>141</v>
      </c>
      <c r="E319" s="90" t="s">
        <v>26</v>
      </c>
      <c r="F319" s="45">
        <v>3</v>
      </c>
      <c r="G319" s="46"/>
      <c r="H319" s="33" t="s">
        <v>29</v>
      </c>
      <c r="I319" s="17">
        <f t="shared" ref="I319:I321" si="156">TRUNC(G319*(1+HLOOKUP(H319,$F$6:$I$7,2,FALSE)),2)</f>
        <v>0</v>
      </c>
      <c r="J319" s="17">
        <f t="shared" ref="J319:J321" si="157">TRUNC(F319*I319,2)</f>
        <v>0</v>
      </c>
      <c r="K319" s="55"/>
      <c r="L319" s="8"/>
    </row>
    <row r="320" spans="1:12" s="78" customFormat="1" ht="38.25" outlineLevel="1" x14ac:dyDescent="0.2">
      <c r="A320" s="18" t="s">
        <v>666</v>
      </c>
      <c r="B320" s="88" t="s">
        <v>105</v>
      </c>
      <c r="C320" s="41" t="s">
        <v>696</v>
      </c>
      <c r="D320" s="89" t="s">
        <v>697</v>
      </c>
      <c r="E320" s="90" t="s">
        <v>26</v>
      </c>
      <c r="F320" s="45">
        <v>1</v>
      </c>
      <c r="G320" s="46"/>
      <c r="H320" s="33" t="s">
        <v>29</v>
      </c>
      <c r="I320" s="17">
        <f t="shared" si="156"/>
        <v>0</v>
      </c>
      <c r="J320" s="17">
        <f t="shared" si="157"/>
        <v>0</v>
      </c>
      <c r="K320" s="55"/>
      <c r="L320" s="8"/>
    </row>
    <row r="321" spans="1:12" s="78" customFormat="1" ht="38.25" outlineLevel="1" x14ac:dyDescent="0.2">
      <c r="A321" s="18" t="s">
        <v>667</v>
      </c>
      <c r="B321" s="88" t="s">
        <v>105</v>
      </c>
      <c r="C321" s="41" t="s">
        <v>132</v>
      </c>
      <c r="D321" s="89" t="s">
        <v>131</v>
      </c>
      <c r="E321" s="90" t="s">
        <v>26</v>
      </c>
      <c r="F321" s="45">
        <v>2</v>
      </c>
      <c r="G321" s="46"/>
      <c r="H321" s="33" t="s">
        <v>29</v>
      </c>
      <c r="I321" s="17">
        <f t="shared" si="156"/>
        <v>0</v>
      </c>
      <c r="J321" s="17">
        <f t="shared" si="157"/>
        <v>0</v>
      </c>
      <c r="K321" s="55"/>
      <c r="L321" s="8"/>
    </row>
    <row r="322" spans="1:12" s="78" customFormat="1" ht="38.25" outlineLevel="1" x14ac:dyDescent="0.2">
      <c r="A322" s="18" t="s">
        <v>811</v>
      </c>
      <c r="B322" s="41" t="s">
        <v>105</v>
      </c>
      <c r="C322" s="88" t="s">
        <v>760</v>
      </c>
      <c r="D322" s="89" t="s">
        <v>807</v>
      </c>
      <c r="E322" s="90" t="s">
        <v>26</v>
      </c>
      <c r="F322" s="46">
        <v>1</v>
      </c>
      <c r="G322" s="46"/>
      <c r="H322" s="47" t="s">
        <v>29</v>
      </c>
      <c r="I322" s="17">
        <f t="shared" ref="I322:I329" si="158">TRUNC(G322*(1+HLOOKUP(H322,$F$6:$I$7,2,FALSE)),2)</f>
        <v>0</v>
      </c>
      <c r="J322" s="46">
        <f t="shared" ref="J322:J329" si="159">TRUNC(F322*I322,2)</f>
        <v>0</v>
      </c>
      <c r="K322" s="91"/>
      <c r="L322" s="8"/>
    </row>
    <row r="323" spans="1:12" s="78" customFormat="1" ht="38.25" outlineLevel="1" x14ac:dyDescent="0.2">
      <c r="A323" s="18" t="s">
        <v>809</v>
      </c>
      <c r="B323" s="41" t="s">
        <v>105</v>
      </c>
      <c r="C323" s="88" t="s">
        <v>173</v>
      </c>
      <c r="D323" s="89" t="s">
        <v>172</v>
      </c>
      <c r="E323" s="90" t="s">
        <v>26</v>
      </c>
      <c r="F323" s="46">
        <v>2</v>
      </c>
      <c r="G323" s="46"/>
      <c r="H323" s="47" t="s">
        <v>29</v>
      </c>
      <c r="I323" s="17">
        <f t="shared" si="158"/>
        <v>0</v>
      </c>
      <c r="J323" s="46">
        <f t="shared" si="159"/>
        <v>0</v>
      </c>
      <c r="K323" s="91"/>
      <c r="L323" s="8"/>
    </row>
    <row r="324" spans="1:12" s="78" customFormat="1" ht="38.25" outlineLevel="1" x14ac:dyDescent="0.2">
      <c r="A324" s="18" t="s">
        <v>812</v>
      </c>
      <c r="B324" s="41" t="s">
        <v>105</v>
      </c>
      <c r="C324" s="88" t="s">
        <v>158</v>
      </c>
      <c r="D324" s="89" t="s">
        <v>808</v>
      </c>
      <c r="E324" s="90" t="s">
        <v>26</v>
      </c>
      <c r="F324" s="46">
        <v>1</v>
      </c>
      <c r="G324" s="46"/>
      <c r="H324" s="47" t="s">
        <v>29</v>
      </c>
      <c r="I324" s="17">
        <f t="shared" si="158"/>
        <v>0</v>
      </c>
      <c r="J324" s="46">
        <f t="shared" si="159"/>
        <v>0</v>
      </c>
      <c r="K324" s="91"/>
      <c r="L324" s="8"/>
    </row>
    <row r="325" spans="1:12" s="78" customFormat="1" ht="38.25" outlineLevel="1" x14ac:dyDescent="0.2">
      <c r="A325" s="18" t="s">
        <v>810</v>
      </c>
      <c r="B325" s="42" t="s">
        <v>105</v>
      </c>
      <c r="C325" s="41" t="s">
        <v>163</v>
      </c>
      <c r="D325" s="43" t="s">
        <v>164</v>
      </c>
      <c r="E325" s="44" t="s">
        <v>26</v>
      </c>
      <c r="F325" s="45">
        <v>1</v>
      </c>
      <c r="G325" s="46"/>
      <c r="H325" s="33" t="s">
        <v>29</v>
      </c>
      <c r="I325" s="16">
        <f t="shared" si="158"/>
        <v>0</v>
      </c>
      <c r="J325" s="16">
        <f t="shared" si="159"/>
        <v>0</v>
      </c>
      <c r="K325" s="55"/>
      <c r="L325" s="8"/>
    </row>
    <row r="326" spans="1:12" s="78" customFormat="1" ht="38.25" outlineLevel="1" x14ac:dyDescent="0.2">
      <c r="A326" s="18" t="s">
        <v>813</v>
      </c>
      <c r="B326" s="88" t="s">
        <v>105</v>
      </c>
      <c r="C326" s="41" t="s">
        <v>129</v>
      </c>
      <c r="D326" s="89" t="s">
        <v>128</v>
      </c>
      <c r="E326" s="90" t="s">
        <v>125</v>
      </c>
      <c r="F326" s="46">
        <v>6</v>
      </c>
      <c r="G326" s="46"/>
      <c r="H326" s="33" t="s">
        <v>30</v>
      </c>
      <c r="I326" s="17">
        <f>TRUNC(G326*(1+HLOOKUP(H326,$F$6:$I$7,2,FALSE)),2)</f>
        <v>0</v>
      </c>
      <c r="J326" s="17">
        <f t="shared" si="159"/>
        <v>0</v>
      </c>
      <c r="K326" s="55"/>
      <c r="L326" s="8"/>
    </row>
    <row r="327" spans="1:12" s="78" customFormat="1" ht="25.5" outlineLevel="1" x14ac:dyDescent="0.2">
      <c r="A327" s="18" t="s">
        <v>814</v>
      </c>
      <c r="B327" s="88" t="s">
        <v>105</v>
      </c>
      <c r="C327" s="41">
        <v>70140023</v>
      </c>
      <c r="D327" s="89" t="s">
        <v>123</v>
      </c>
      <c r="E327" s="90" t="s">
        <v>48</v>
      </c>
      <c r="F327" s="46">
        <v>955.34</v>
      </c>
      <c r="G327" s="46"/>
      <c r="H327" s="33" t="s">
        <v>30</v>
      </c>
      <c r="I327" s="17">
        <f t="shared" ref="I327" si="160">TRUNC(G327*(1+HLOOKUP(H327,$F$6:$I$7,2,FALSE)),2)</f>
        <v>0</v>
      </c>
      <c r="J327" s="17">
        <f t="shared" si="159"/>
        <v>0</v>
      </c>
      <c r="K327" s="55"/>
      <c r="L327" s="8"/>
    </row>
    <row r="328" spans="1:12" s="78" customFormat="1" ht="25.5" outlineLevel="1" x14ac:dyDescent="0.2">
      <c r="A328" s="18" t="s">
        <v>815</v>
      </c>
      <c r="B328" s="88" t="s">
        <v>7</v>
      </c>
      <c r="C328" s="41" t="s">
        <v>97</v>
      </c>
      <c r="D328" s="83" t="str">
        <f>UPPER("Tubo de PVC rígido DEFoFo, DN= 250mm (DE= 274mm), inclusive conexões")</f>
        <v>TUBO DE PVC RÍGIDO DEFOFO, DN= 250MM (DE= 274MM), INCLUSIVE CONEXÕES</v>
      </c>
      <c r="E328" s="90" t="s">
        <v>13</v>
      </c>
      <c r="F328" s="46">
        <v>40</v>
      </c>
      <c r="G328" s="46"/>
      <c r="H328" s="33" t="s">
        <v>29</v>
      </c>
      <c r="I328" s="17">
        <f t="shared" si="158"/>
        <v>0</v>
      </c>
      <c r="J328" s="17">
        <f t="shared" si="159"/>
        <v>0</v>
      </c>
      <c r="K328" s="55"/>
      <c r="L328" s="8"/>
    </row>
    <row r="329" spans="1:12" s="78" customFormat="1" ht="63.75" outlineLevel="1" x14ac:dyDescent="0.2">
      <c r="A329" s="18" t="s">
        <v>816</v>
      </c>
      <c r="B329" s="88" t="s">
        <v>5</v>
      </c>
      <c r="C329" s="41">
        <v>97136</v>
      </c>
      <c r="D329" s="89" t="s">
        <v>737</v>
      </c>
      <c r="E329" s="90" t="s">
        <v>13</v>
      </c>
      <c r="F329" s="45">
        <v>40</v>
      </c>
      <c r="G329" s="46"/>
      <c r="H329" s="33" t="s">
        <v>29</v>
      </c>
      <c r="I329" s="17">
        <f t="shared" si="158"/>
        <v>0</v>
      </c>
      <c r="J329" s="17">
        <f t="shared" si="159"/>
        <v>0</v>
      </c>
      <c r="K329" s="55"/>
      <c r="L329" s="8"/>
    </row>
    <row r="330" spans="1:12" s="78" customFormat="1" ht="15.75" outlineLevel="1" x14ac:dyDescent="0.2">
      <c r="A330" s="114" t="s">
        <v>668</v>
      </c>
      <c r="B330" s="115"/>
      <c r="C330" s="116"/>
      <c r="D330" s="125" t="s">
        <v>515</v>
      </c>
      <c r="E330" s="118"/>
      <c r="F330" s="119"/>
      <c r="G330" s="119"/>
      <c r="H330" s="120"/>
      <c r="I330" s="119"/>
      <c r="J330" s="119"/>
      <c r="K330" s="121"/>
      <c r="L330" s="8"/>
    </row>
    <row r="331" spans="1:12" s="78" customFormat="1" ht="51" outlineLevel="1" x14ac:dyDescent="0.2">
      <c r="A331" s="18" t="s">
        <v>669</v>
      </c>
      <c r="B331" s="41" t="s">
        <v>5</v>
      </c>
      <c r="C331" s="88">
        <v>99290</v>
      </c>
      <c r="D331" s="89" t="s">
        <v>514</v>
      </c>
      <c r="E331" s="90" t="s">
        <v>26</v>
      </c>
      <c r="F331" s="46">
        <v>2</v>
      </c>
      <c r="G331" s="46"/>
      <c r="H331" s="47" t="s">
        <v>29</v>
      </c>
      <c r="I331" s="17">
        <f t="shared" ref="I331:I333" si="161">TRUNC(G331*(1+HLOOKUP(H331,$F$6:$I$7,2,FALSE)),2)</f>
        <v>0</v>
      </c>
      <c r="J331" s="46">
        <f t="shared" ref="J331:J333" si="162">TRUNC(F331*I331,2)</f>
        <v>0</v>
      </c>
      <c r="K331" s="91"/>
      <c r="L331" s="8"/>
    </row>
    <row r="332" spans="1:12" s="78" customFormat="1" ht="38.25" outlineLevel="1" x14ac:dyDescent="0.2">
      <c r="A332" s="18" t="s">
        <v>670</v>
      </c>
      <c r="B332" s="41" t="s">
        <v>5</v>
      </c>
      <c r="C332" s="88">
        <v>97736</v>
      </c>
      <c r="D332" s="89" t="s">
        <v>512</v>
      </c>
      <c r="E332" s="90" t="s">
        <v>14</v>
      </c>
      <c r="F332" s="46">
        <v>0.36</v>
      </c>
      <c r="G332" s="46"/>
      <c r="H332" s="47" t="s">
        <v>29</v>
      </c>
      <c r="I332" s="17">
        <f t="shared" si="161"/>
        <v>0</v>
      </c>
      <c r="J332" s="46">
        <f t="shared" si="162"/>
        <v>0</v>
      </c>
      <c r="K332" s="91"/>
      <c r="L332" s="8"/>
    </row>
    <row r="333" spans="1:12" s="78" customFormat="1" ht="25.5" outlineLevel="1" x14ac:dyDescent="0.2">
      <c r="A333" s="18" t="s">
        <v>671</v>
      </c>
      <c r="B333" s="41" t="s">
        <v>7</v>
      </c>
      <c r="C333" s="88" t="s">
        <v>513</v>
      </c>
      <c r="D333" s="89" t="str">
        <f>UPPER("Tampão em ferro fundido, diâmetro de 600 mm, classe C 300 (ruptura &gt; 300 Kn)")</f>
        <v>TAMPÃO EM FERRO FUNDIDO, DIÂMETRO DE 600 MM, CLASSE C 300 (RUPTURA &gt; 300 KN)</v>
      </c>
      <c r="E333" s="90" t="s">
        <v>26</v>
      </c>
      <c r="F333" s="46">
        <v>2</v>
      </c>
      <c r="G333" s="46"/>
      <c r="H333" s="47" t="s">
        <v>29</v>
      </c>
      <c r="I333" s="17">
        <f t="shared" si="161"/>
        <v>0</v>
      </c>
      <c r="J333" s="46">
        <f t="shared" si="162"/>
        <v>0</v>
      </c>
      <c r="K333" s="91"/>
      <c r="L333" s="8"/>
    </row>
    <row r="334" spans="1:12" s="78" customFormat="1" ht="15.75" outlineLevel="1" x14ac:dyDescent="0.2">
      <c r="A334" s="114" t="s">
        <v>672</v>
      </c>
      <c r="B334" s="115"/>
      <c r="C334" s="116"/>
      <c r="D334" s="125" t="s">
        <v>516</v>
      </c>
      <c r="E334" s="118"/>
      <c r="F334" s="119"/>
      <c r="G334" s="119"/>
      <c r="H334" s="120"/>
      <c r="I334" s="119"/>
      <c r="J334" s="119"/>
      <c r="K334" s="121"/>
      <c r="L334" s="8"/>
    </row>
    <row r="335" spans="1:12" s="78" customFormat="1" ht="51" outlineLevel="1" x14ac:dyDescent="0.2">
      <c r="A335" s="18" t="s">
        <v>673</v>
      </c>
      <c r="B335" s="41" t="s">
        <v>5</v>
      </c>
      <c r="C335" s="88">
        <v>99290</v>
      </c>
      <c r="D335" s="89" t="s">
        <v>514</v>
      </c>
      <c r="E335" s="90" t="s">
        <v>26</v>
      </c>
      <c r="F335" s="46">
        <v>1</v>
      </c>
      <c r="G335" s="46"/>
      <c r="H335" s="47" t="s">
        <v>29</v>
      </c>
      <c r="I335" s="17">
        <f t="shared" ref="I335:I337" si="163">TRUNC(G335*(1+HLOOKUP(H335,$F$6:$I$7,2,FALSE)),2)</f>
        <v>0</v>
      </c>
      <c r="J335" s="46">
        <f t="shared" ref="J335:J337" si="164">TRUNC(F335*I335,2)</f>
        <v>0</v>
      </c>
      <c r="K335" s="91"/>
      <c r="L335" s="8"/>
    </row>
    <row r="336" spans="1:12" s="78" customFormat="1" ht="38.25" outlineLevel="1" x14ac:dyDescent="0.2">
      <c r="A336" s="18" t="s">
        <v>674</v>
      </c>
      <c r="B336" s="41" t="s">
        <v>5</v>
      </c>
      <c r="C336" s="88">
        <v>97736</v>
      </c>
      <c r="D336" s="89" t="s">
        <v>512</v>
      </c>
      <c r="E336" s="90" t="s">
        <v>14</v>
      </c>
      <c r="F336" s="46">
        <v>0.18</v>
      </c>
      <c r="G336" s="46"/>
      <c r="H336" s="47" t="s">
        <v>29</v>
      </c>
      <c r="I336" s="17">
        <f t="shared" si="163"/>
        <v>0</v>
      </c>
      <c r="J336" s="46">
        <f t="shared" si="164"/>
        <v>0</v>
      </c>
      <c r="K336" s="91"/>
      <c r="L336" s="8"/>
    </row>
    <row r="337" spans="1:12" s="78" customFormat="1" ht="25.5" outlineLevel="1" x14ac:dyDescent="0.2">
      <c r="A337" s="18" t="s">
        <v>675</v>
      </c>
      <c r="B337" s="41" t="s">
        <v>7</v>
      </c>
      <c r="C337" s="88" t="s">
        <v>513</v>
      </c>
      <c r="D337" s="89" t="str">
        <f>UPPER("Tampão em ferro fundido, diâmetro de 600 mm, classe C 300 (ruptura &gt; 300 Kn)")</f>
        <v>TAMPÃO EM FERRO FUNDIDO, DIÂMETRO DE 600 MM, CLASSE C 300 (RUPTURA &gt; 300 KN)</v>
      </c>
      <c r="E337" s="90" t="s">
        <v>26</v>
      </c>
      <c r="F337" s="46">
        <v>1</v>
      </c>
      <c r="G337" s="46"/>
      <c r="H337" s="47" t="s">
        <v>29</v>
      </c>
      <c r="I337" s="17">
        <f t="shared" si="163"/>
        <v>0</v>
      </c>
      <c r="J337" s="46">
        <f t="shared" si="164"/>
        <v>0</v>
      </c>
      <c r="K337" s="91"/>
      <c r="L337" s="8"/>
    </row>
    <row r="338" spans="1:12" s="78" customFormat="1" ht="15.75" outlineLevel="1" x14ac:dyDescent="0.2">
      <c r="A338" s="114" t="s">
        <v>803</v>
      </c>
      <c r="B338" s="115"/>
      <c r="C338" s="116"/>
      <c r="D338" s="125" t="s">
        <v>530</v>
      </c>
      <c r="E338" s="118"/>
      <c r="F338" s="119"/>
      <c r="G338" s="119"/>
      <c r="H338" s="120"/>
      <c r="I338" s="119"/>
      <c r="J338" s="119"/>
      <c r="K338" s="121"/>
      <c r="L338" s="8"/>
    </row>
    <row r="339" spans="1:12" s="78" customFormat="1" ht="51" outlineLevel="1" x14ac:dyDescent="0.2">
      <c r="A339" s="18" t="s">
        <v>804</v>
      </c>
      <c r="B339" s="41" t="s">
        <v>5</v>
      </c>
      <c r="C339" s="88">
        <v>99252</v>
      </c>
      <c r="D339" s="89" t="s">
        <v>531</v>
      </c>
      <c r="E339" s="90" t="s">
        <v>26</v>
      </c>
      <c r="F339" s="46">
        <v>1</v>
      </c>
      <c r="G339" s="46"/>
      <c r="H339" s="47" t="s">
        <v>29</v>
      </c>
      <c r="I339" s="17">
        <f t="shared" ref="I339:I341" si="165">TRUNC(G339*(1+HLOOKUP(H339,$F$6:$I$7,2,FALSE)),2)</f>
        <v>0</v>
      </c>
      <c r="J339" s="46">
        <f t="shared" ref="J339:J341" si="166">TRUNC(F339*I339,2)</f>
        <v>0</v>
      </c>
      <c r="K339" s="91"/>
      <c r="L339" s="8"/>
    </row>
    <row r="340" spans="1:12" s="78" customFormat="1" ht="38.25" outlineLevel="1" x14ac:dyDescent="0.2">
      <c r="A340" s="18" t="s">
        <v>805</v>
      </c>
      <c r="B340" s="41" t="s">
        <v>5</v>
      </c>
      <c r="C340" s="88">
        <v>97736</v>
      </c>
      <c r="D340" s="89" t="s">
        <v>512</v>
      </c>
      <c r="E340" s="90" t="s">
        <v>14</v>
      </c>
      <c r="F340" s="46">
        <v>0.08</v>
      </c>
      <c r="G340" s="46"/>
      <c r="H340" s="47" t="s">
        <v>29</v>
      </c>
      <c r="I340" s="17">
        <f t="shared" si="165"/>
        <v>0</v>
      </c>
      <c r="J340" s="46">
        <f t="shared" si="166"/>
        <v>0</v>
      </c>
      <c r="K340" s="91"/>
      <c r="L340" s="8"/>
    </row>
    <row r="341" spans="1:12" s="78" customFormat="1" ht="25.5" outlineLevel="1" x14ac:dyDescent="0.2">
      <c r="A341" s="18" t="s">
        <v>806</v>
      </c>
      <c r="B341" s="41" t="s">
        <v>7</v>
      </c>
      <c r="C341" s="88" t="s">
        <v>513</v>
      </c>
      <c r="D341" s="89" t="str">
        <f>UPPER("Tampão em ferro fundido, diâmetro de 600 mm, classe C 300 (ruptura &gt; 300 Kn)")</f>
        <v>TAMPÃO EM FERRO FUNDIDO, DIÂMETRO DE 600 MM, CLASSE C 300 (RUPTURA &gt; 300 KN)</v>
      </c>
      <c r="E341" s="90" t="s">
        <v>26</v>
      </c>
      <c r="F341" s="46">
        <v>1</v>
      </c>
      <c r="G341" s="46"/>
      <c r="H341" s="47" t="s">
        <v>29</v>
      </c>
      <c r="I341" s="17">
        <f t="shared" si="165"/>
        <v>0</v>
      </c>
      <c r="J341" s="46">
        <f t="shared" si="166"/>
        <v>0</v>
      </c>
      <c r="K341" s="91"/>
      <c r="L341" s="8"/>
    </row>
    <row r="342" spans="1:12" s="78" customFormat="1" ht="30" customHeight="1" x14ac:dyDescent="0.2">
      <c r="A342" s="63" t="s">
        <v>92</v>
      </c>
      <c r="B342" s="64"/>
      <c r="C342" s="65"/>
      <c r="D342" s="128" t="s">
        <v>838</v>
      </c>
      <c r="E342" s="67"/>
      <c r="F342" s="68"/>
      <c r="G342" s="68"/>
      <c r="H342" s="68"/>
      <c r="I342" s="68" t="s">
        <v>17</v>
      </c>
      <c r="J342" s="69">
        <f>SUM(J343:J412)</f>
        <v>0</v>
      </c>
      <c r="K342" s="70" t="e">
        <f>J342/$J$414</f>
        <v>#DIV/0!</v>
      </c>
      <c r="L342" s="8"/>
    </row>
    <row r="343" spans="1:12" s="78" customFormat="1" ht="15.75" outlineLevel="1" x14ac:dyDescent="0.2">
      <c r="A343" s="114" t="s">
        <v>99</v>
      </c>
      <c r="B343" s="115"/>
      <c r="C343" s="116"/>
      <c r="D343" s="125" t="s">
        <v>145</v>
      </c>
      <c r="E343" s="118"/>
      <c r="F343" s="119"/>
      <c r="G343" s="119"/>
      <c r="H343" s="120"/>
      <c r="I343" s="119"/>
      <c r="J343" s="119"/>
      <c r="K343" s="121"/>
      <c r="L343" s="8"/>
    </row>
    <row r="344" spans="1:12" s="78" customFormat="1" ht="25.5" outlineLevel="1" x14ac:dyDescent="0.2">
      <c r="A344" s="18" t="s">
        <v>427</v>
      </c>
      <c r="B344" s="12" t="s">
        <v>5</v>
      </c>
      <c r="C344" s="82">
        <v>96001</v>
      </c>
      <c r="D344" s="83" t="s">
        <v>148</v>
      </c>
      <c r="E344" s="84" t="s">
        <v>11</v>
      </c>
      <c r="F344" s="17">
        <v>535.32000000000005</v>
      </c>
      <c r="G344" s="17"/>
      <c r="H344" s="33" t="s">
        <v>29</v>
      </c>
      <c r="I344" s="16">
        <f t="shared" ref="I344:I410" si="167">TRUNC(G344*(1+HLOOKUP(H344,$F$6:$I$7,2,FALSE)),2)</f>
        <v>0</v>
      </c>
      <c r="J344" s="17">
        <f>TRUNC(F344*I344,2)</f>
        <v>0</v>
      </c>
      <c r="K344" s="20"/>
      <c r="L344" s="8"/>
    </row>
    <row r="345" spans="1:12" s="78" customFormat="1" ht="51" outlineLevel="1" x14ac:dyDescent="0.2">
      <c r="A345" s="126" t="s">
        <v>428</v>
      </c>
      <c r="B345" s="12" t="s">
        <v>5</v>
      </c>
      <c r="C345" s="82">
        <v>100975</v>
      </c>
      <c r="D345" s="83" t="s">
        <v>473</v>
      </c>
      <c r="E345" s="84" t="s">
        <v>14</v>
      </c>
      <c r="F345" s="17">
        <v>34.799999999999997</v>
      </c>
      <c r="G345" s="17"/>
      <c r="H345" s="33" t="s">
        <v>29</v>
      </c>
      <c r="I345" s="16">
        <f t="shared" ref="I345:I346" si="168">TRUNC(G345*(1+HLOOKUP(H345,$F$6:$I$7,2,FALSE)),2)</f>
        <v>0</v>
      </c>
      <c r="J345" s="17">
        <f t="shared" ref="J345:J346" si="169">TRUNC(F345*I345,2)</f>
        <v>0</v>
      </c>
      <c r="K345" s="20"/>
      <c r="L345" s="8"/>
    </row>
    <row r="346" spans="1:12" s="78" customFormat="1" ht="38.25" outlineLevel="1" x14ac:dyDescent="0.2">
      <c r="A346" s="126" t="s">
        <v>676</v>
      </c>
      <c r="B346" s="12" t="s">
        <v>5</v>
      </c>
      <c r="C346" s="82">
        <v>95876</v>
      </c>
      <c r="D346" s="83" t="s">
        <v>474</v>
      </c>
      <c r="E346" s="84" t="s">
        <v>79</v>
      </c>
      <c r="F346" s="17">
        <v>173.98</v>
      </c>
      <c r="G346" s="17"/>
      <c r="H346" s="33" t="s">
        <v>29</v>
      </c>
      <c r="I346" s="16">
        <f t="shared" si="168"/>
        <v>0</v>
      </c>
      <c r="J346" s="17">
        <f t="shared" si="169"/>
        <v>0</v>
      </c>
      <c r="K346" s="20"/>
      <c r="L346" s="8"/>
    </row>
    <row r="347" spans="1:12" s="78" customFormat="1" ht="15.75" outlineLevel="1" x14ac:dyDescent="0.2">
      <c r="A347" s="114" t="s">
        <v>182</v>
      </c>
      <c r="B347" s="115"/>
      <c r="C347" s="116"/>
      <c r="D347" s="125" t="s">
        <v>146</v>
      </c>
      <c r="E347" s="118"/>
      <c r="F347" s="119"/>
      <c r="G347" s="119"/>
      <c r="H347" s="120"/>
      <c r="I347" s="119"/>
      <c r="J347" s="119"/>
      <c r="K347" s="121"/>
      <c r="L347" s="8"/>
    </row>
    <row r="348" spans="1:12" s="78" customFormat="1" ht="63.75" outlineLevel="1" x14ac:dyDescent="0.2">
      <c r="A348" s="18" t="s">
        <v>429</v>
      </c>
      <c r="B348" s="12" t="s">
        <v>5</v>
      </c>
      <c r="C348" s="82">
        <v>102276</v>
      </c>
      <c r="D348" s="83" t="s">
        <v>151</v>
      </c>
      <c r="E348" s="84" t="s">
        <v>14</v>
      </c>
      <c r="F348" s="17">
        <v>2717.22</v>
      </c>
      <c r="G348" s="17"/>
      <c r="H348" s="33" t="s">
        <v>29</v>
      </c>
      <c r="I348" s="16">
        <f>TRUNC(G348*(1+HLOOKUP(H348,$F$6:$I$7,2,FALSE)),2)</f>
        <v>0</v>
      </c>
      <c r="J348" s="17">
        <f>TRUNC(F348*I348,2)</f>
        <v>0</v>
      </c>
      <c r="K348" s="55"/>
      <c r="L348" s="86"/>
    </row>
    <row r="349" spans="1:12" s="78" customFormat="1" ht="25.5" outlineLevel="1" x14ac:dyDescent="0.2">
      <c r="A349" s="18" t="s">
        <v>430</v>
      </c>
      <c r="B349" s="12" t="s">
        <v>198</v>
      </c>
      <c r="C349" s="82" t="s">
        <v>477</v>
      </c>
      <c r="D349" s="83" t="s">
        <v>476</v>
      </c>
      <c r="E349" s="84" t="s">
        <v>13</v>
      </c>
      <c r="F349" s="17">
        <v>2264.35</v>
      </c>
      <c r="G349" s="17"/>
      <c r="H349" s="33" t="s">
        <v>29</v>
      </c>
      <c r="I349" s="16">
        <f t="shared" ref="I349" si="170">TRUNC(G349*(1+HLOOKUP(H349,$F$6:$I$7,2,FALSE)),2)</f>
        <v>0</v>
      </c>
      <c r="J349" s="17">
        <f t="shared" ref="J349" si="171">TRUNC(F349*I349,2)</f>
        <v>0</v>
      </c>
      <c r="K349" s="55"/>
      <c r="L349" s="86"/>
    </row>
    <row r="350" spans="1:12" s="78" customFormat="1" ht="38.25" outlineLevel="1" x14ac:dyDescent="0.2">
      <c r="A350" s="18" t="s">
        <v>431</v>
      </c>
      <c r="B350" s="12" t="s">
        <v>5</v>
      </c>
      <c r="C350" s="82">
        <v>101622</v>
      </c>
      <c r="D350" s="83" t="s">
        <v>883</v>
      </c>
      <c r="E350" s="84" t="s">
        <v>14</v>
      </c>
      <c r="F350" s="17">
        <v>271.72000000000003</v>
      </c>
      <c r="G350" s="17"/>
      <c r="H350" s="33" t="s">
        <v>29</v>
      </c>
      <c r="I350" s="16">
        <f t="shared" ref="I350:I352" si="172">TRUNC(G350*(1+HLOOKUP(H350,$F$6:$I$7,2,FALSE)),2)</f>
        <v>0</v>
      </c>
      <c r="J350" s="17">
        <f t="shared" ref="J350:J352" si="173">TRUNC(F350*I350,2)</f>
        <v>0</v>
      </c>
      <c r="K350" s="55"/>
      <c r="L350" s="86"/>
    </row>
    <row r="351" spans="1:12" s="78" customFormat="1" ht="51" outlineLevel="1" x14ac:dyDescent="0.2">
      <c r="A351" s="18" t="s">
        <v>432</v>
      </c>
      <c r="B351" s="12" t="s">
        <v>5</v>
      </c>
      <c r="C351" s="82">
        <v>100975</v>
      </c>
      <c r="D351" s="83" t="s">
        <v>473</v>
      </c>
      <c r="E351" s="84" t="s">
        <v>14</v>
      </c>
      <c r="F351" s="17">
        <v>181.15</v>
      </c>
      <c r="G351" s="17"/>
      <c r="H351" s="33" t="s">
        <v>29</v>
      </c>
      <c r="I351" s="16">
        <f t="shared" si="172"/>
        <v>0</v>
      </c>
      <c r="J351" s="17">
        <f t="shared" si="173"/>
        <v>0</v>
      </c>
      <c r="K351" s="55"/>
      <c r="L351" s="86"/>
    </row>
    <row r="352" spans="1:12" s="78" customFormat="1" ht="38.25" outlineLevel="1" x14ac:dyDescent="0.2">
      <c r="A352" s="18" t="s">
        <v>881</v>
      </c>
      <c r="B352" s="12" t="s">
        <v>5</v>
      </c>
      <c r="C352" s="82">
        <v>95876</v>
      </c>
      <c r="D352" s="83" t="s">
        <v>474</v>
      </c>
      <c r="E352" s="84" t="s">
        <v>79</v>
      </c>
      <c r="F352" s="17">
        <v>3622.96</v>
      </c>
      <c r="G352" s="17"/>
      <c r="H352" s="33" t="s">
        <v>29</v>
      </c>
      <c r="I352" s="16">
        <f t="shared" si="172"/>
        <v>0</v>
      </c>
      <c r="J352" s="17">
        <f t="shared" si="173"/>
        <v>0</v>
      </c>
      <c r="K352" s="55"/>
      <c r="L352" s="86"/>
    </row>
    <row r="353" spans="1:12" s="78" customFormat="1" ht="76.5" outlineLevel="1" x14ac:dyDescent="0.2">
      <c r="A353" s="18" t="s">
        <v>882</v>
      </c>
      <c r="B353" s="12" t="s">
        <v>5</v>
      </c>
      <c r="C353" s="13">
        <v>104733</v>
      </c>
      <c r="D353" s="14" t="s">
        <v>152</v>
      </c>
      <c r="E353" s="15" t="s">
        <v>14</v>
      </c>
      <c r="F353" s="17">
        <v>2717.22</v>
      </c>
      <c r="G353" s="17"/>
      <c r="H353" s="33" t="s">
        <v>29</v>
      </c>
      <c r="I353" s="16">
        <f t="shared" ref="I353" si="174">TRUNC(G353*(1+HLOOKUP(H353,$F$6:$I$7,2,FALSE)),2)</f>
        <v>0</v>
      </c>
      <c r="J353" s="16">
        <f t="shared" ref="J353" si="175">TRUNC(F353*I353,2)</f>
        <v>0</v>
      </c>
      <c r="K353" s="20"/>
      <c r="L353" s="8"/>
    </row>
    <row r="354" spans="1:12" s="78" customFormat="1" ht="15.75" outlineLevel="1" x14ac:dyDescent="0.2">
      <c r="A354" s="114" t="s">
        <v>183</v>
      </c>
      <c r="B354" s="115"/>
      <c r="C354" s="116"/>
      <c r="D354" s="125" t="s">
        <v>147</v>
      </c>
      <c r="E354" s="118"/>
      <c r="F354" s="119"/>
      <c r="G354" s="119"/>
      <c r="H354" s="120"/>
      <c r="I354" s="119"/>
      <c r="J354" s="119"/>
      <c r="K354" s="121"/>
      <c r="L354" s="8"/>
    </row>
    <row r="355" spans="1:12" s="78" customFormat="1" ht="51" outlineLevel="1" x14ac:dyDescent="0.2">
      <c r="A355" s="122" t="s">
        <v>433</v>
      </c>
      <c r="B355" s="42" t="s">
        <v>105</v>
      </c>
      <c r="C355" s="41" t="s">
        <v>744</v>
      </c>
      <c r="D355" s="43" t="s">
        <v>743</v>
      </c>
      <c r="E355" s="44" t="s">
        <v>26</v>
      </c>
      <c r="F355" s="45">
        <v>6</v>
      </c>
      <c r="G355" s="46"/>
      <c r="H355" s="33" t="s">
        <v>29</v>
      </c>
      <c r="I355" s="16">
        <f t="shared" ref="I355" si="176">TRUNC(G355*(1+HLOOKUP(H355,$F$6:$I$7,2,FALSE)),2)</f>
        <v>0</v>
      </c>
      <c r="J355" s="16">
        <f t="shared" ref="J355" si="177">TRUNC(F355*I355,2)</f>
        <v>0</v>
      </c>
      <c r="K355" s="20"/>
      <c r="L355" s="8"/>
    </row>
    <row r="356" spans="1:12" s="78" customFormat="1" ht="38.25" outlineLevel="1" x14ac:dyDescent="0.2">
      <c r="A356" s="122" t="s">
        <v>434</v>
      </c>
      <c r="B356" s="42" t="s">
        <v>105</v>
      </c>
      <c r="C356" s="41" t="s">
        <v>163</v>
      </c>
      <c r="D356" s="43" t="s">
        <v>164</v>
      </c>
      <c r="E356" s="44" t="s">
        <v>26</v>
      </c>
      <c r="F356" s="45">
        <v>5</v>
      </c>
      <c r="G356" s="46"/>
      <c r="H356" s="33" t="s">
        <v>29</v>
      </c>
      <c r="I356" s="16">
        <f t="shared" ref="I356:I394" si="178">TRUNC(G356*(1+HLOOKUP(H356,$F$6:$I$7,2,FALSE)),2)</f>
        <v>0</v>
      </c>
      <c r="J356" s="16">
        <f t="shared" ref="J356:J394" si="179">TRUNC(F356*I356,2)</f>
        <v>0</v>
      </c>
      <c r="K356" s="20"/>
      <c r="L356" s="8"/>
    </row>
    <row r="357" spans="1:12" s="78" customFormat="1" ht="38.25" outlineLevel="1" x14ac:dyDescent="0.2">
      <c r="A357" s="122" t="s">
        <v>437</v>
      </c>
      <c r="B357" s="42" t="s">
        <v>105</v>
      </c>
      <c r="C357" s="41" t="s">
        <v>162</v>
      </c>
      <c r="D357" s="43" t="s">
        <v>161</v>
      </c>
      <c r="E357" s="44" t="s">
        <v>26</v>
      </c>
      <c r="F357" s="45">
        <v>2</v>
      </c>
      <c r="G357" s="46"/>
      <c r="H357" s="33" t="s">
        <v>29</v>
      </c>
      <c r="I357" s="16">
        <f t="shared" si="178"/>
        <v>0</v>
      </c>
      <c r="J357" s="16">
        <f t="shared" si="179"/>
        <v>0</v>
      </c>
      <c r="K357" s="20"/>
      <c r="L357" s="8"/>
    </row>
    <row r="358" spans="1:12" s="78" customFormat="1" ht="38.25" outlineLevel="1" x14ac:dyDescent="0.2">
      <c r="A358" s="122" t="s">
        <v>438</v>
      </c>
      <c r="B358" s="42" t="s">
        <v>105</v>
      </c>
      <c r="C358" s="41" t="s">
        <v>166</v>
      </c>
      <c r="D358" s="43" t="s">
        <v>165</v>
      </c>
      <c r="E358" s="44" t="s">
        <v>26</v>
      </c>
      <c r="F358" s="45">
        <v>2</v>
      </c>
      <c r="G358" s="46"/>
      <c r="H358" s="33" t="s">
        <v>29</v>
      </c>
      <c r="I358" s="16">
        <f t="shared" si="178"/>
        <v>0</v>
      </c>
      <c r="J358" s="16">
        <f t="shared" si="179"/>
        <v>0</v>
      </c>
      <c r="K358" s="20"/>
      <c r="L358" s="8"/>
    </row>
    <row r="359" spans="1:12" s="78" customFormat="1" ht="38.25" outlineLevel="1" x14ac:dyDescent="0.2">
      <c r="A359" s="122" t="s">
        <v>439</v>
      </c>
      <c r="B359" s="42" t="s">
        <v>105</v>
      </c>
      <c r="C359" s="41" t="s">
        <v>746</v>
      </c>
      <c r="D359" s="43" t="s">
        <v>747</v>
      </c>
      <c r="E359" s="44" t="s">
        <v>26</v>
      </c>
      <c r="F359" s="45">
        <v>1</v>
      </c>
      <c r="G359" s="46"/>
      <c r="H359" s="33" t="s">
        <v>29</v>
      </c>
      <c r="I359" s="16">
        <f t="shared" si="178"/>
        <v>0</v>
      </c>
      <c r="J359" s="16">
        <f t="shared" si="179"/>
        <v>0</v>
      </c>
      <c r="K359" s="20"/>
      <c r="L359" s="8"/>
    </row>
    <row r="360" spans="1:12" s="78" customFormat="1" ht="38.25" outlineLevel="1" x14ac:dyDescent="0.2">
      <c r="A360" s="122" t="s">
        <v>440</v>
      </c>
      <c r="B360" s="42" t="s">
        <v>105</v>
      </c>
      <c r="C360" s="41" t="s">
        <v>768</v>
      </c>
      <c r="D360" s="43" t="s">
        <v>769</v>
      </c>
      <c r="E360" s="44" t="s">
        <v>26</v>
      </c>
      <c r="F360" s="45">
        <v>1</v>
      </c>
      <c r="G360" s="46"/>
      <c r="H360" s="33" t="s">
        <v>29</v>
      </c>
      <c r="I360" s="16">
        <f t="shared" si="178"/>
        <v>0</v>
      </c>
      <c r="J360" s="16">
        <f t="shared" si="179"/>
        <v>0</v>
      </c>
      <c r="K360" s="20"/>
      <c r="L360" s="8"/>
    </row>
    <row r="361" spans="1:12" s="78" customFormat="1" ht="38.25" outlineLevel="1" x14ac:dyDescent="0.2">
      <c r="A361" s="122" t="s">
        <v>441</v>
      </c>
      <c r="B361" s="42" t="s">
        <v>105</v>
      </c>
      <c r="C361" s="41" t="s">
        <v>140</v>
      </c>
      <c r="D361" s="43" t="s">
        <v>139</v>
      </c>
      <c r="E361" s="44" t="s">
        <v>26</v>
      </c>
      <c r="F361" s="45">
        <v>3</v>
      </c>
      <c r="G361" s="46"/>
      <c r="H361" s="33" t="s">
        <v>29</v>
      </c>
      <c r="I361" s="16">
        <f t="shared" si="178"/>
        <v>0</v>
      </c>
      <c r="J361" s="16">
        <f t="shared" si="179"/>
        <v>0</v>
      </c>
      <c r="K361" s="20"/>
      <c r="L361" s="8"/>
    </row>
    <row r="362" spans="1:12" s="78" customFormat="1" ht="38.25" outlineLevel="1" x14ac:dyDescent="0.2">
      <c r="A362" s="122" t="s">
        <v>442</v>
      </c>
      <c r="B362" s="42" t="s">
        <v>105</v>
      </c>
      <c r="C362" s="41" t="s">
        <v>142</v>
      </c>
      <c r="D362" s="43" t="s">
        <v>141</v>
      </c>
      <c r="E362" s="44" t="s">
        <v>26</v>
      </c>
      <c r="F362" s="45">
        <v>10</v>
      </c>
      <c r="G362" s="46"/>
      <c r="H362" s="33" t="s">
        <v>29</v>
      </c>
      <c r="I362" s="16">
        <f t="shared" si="178"/>
        <v>0</v>
      </c>
      <c r="J362" s="16">
        <f t="shared" si="179"/>
        <v>0</v>
      </c>
      <c r="K362" s="20"/>
      <c r="L362" s="8"/>
    </row>
    <row r="363" spans="1:12" s="78" customFormat="1" ht="38.25" outlineLevel="1" x14ac:dyDescent="0.2">
      <c r="A363" s="122" t="s">
        <v>443</v>
      </c>
      <c r="B363" s="42" t="s">
        <v>105</v>
      </c>
      <c r="C363" s="41" t="s">
        <v>749</v>
      </c>
      <c r="D363" s="43" t="s">
        <v>748</v>
      </c>
      <c r="E363" s="44" t="s">
        <v>26</v>
      </c>
      <c r="F363" s="45">
        <v>4</v>
      </c>
      <c r="G363" s="46"/>
      <c r="H363" s="33" t="s">
        <v>29</v>
      </c>
      <c r="I363" s="16">
        <f t="shared" si="178"/>
        <v>0</v>
      </c>
      <c r="J363" s="16">
        <f t="shared" si="179"/>
        <v>0</v>
      </c>
      <c r="K363" s="20"/>
      <c r="L363" s="8"/>
    </row>
    <row r="364" spans="1:12" s="78" customFormat="1" ht="38.25" outlineLevel="1" x14ac:dyDescent="0.2">
      <c r="A364" s="122" t="s">
        <v>444</v>
      </c>
      <c r="B364" s="42" t="s">
        <v>105</v>
      </c>
      <c r="C364" s="41" t="s">
        <v>751</v>
      </c>
      <c r="D364" s="43" t="s">
        <v>750</v>
      </c>
      <c r="E364" s="44" t="s">
        <v>26</v>
      </c>
      <c r="F364" s="45">
        <v>2</v>
      </c>
      <c r="G364" s="46"/>
      <c r="H364" s="33" t="s">
        <v>29</v>
      </c>
      <c r="I364" s="16">
        <f t="shared" si="178"/>
        <v>0</v>
      </c>
      <c r="J364" s="16">
        <f t="shared" si="179"/>
        <v>0</v>
      </c>
      <c r="K364" s="20"/>
      <c r="L364" s="8"/>
    </row>
    <row r="365" spans="1:12" s="78" customFormat="1" ht="38.25" outlineLevel="1" x14ac:dyDescent="0.2">
      <c r="A365" s="122" t="s">
        <v>445</v>
      </c>
      <c r="B365" s="42" t="s">
        <v>105</v>
      </c>
      <c r="C365" s="41" t="s">
        <v>753</v>
      </c>
      <c r="D365" s="43" t="s">
        <v>752</v>
      </c>
      <c r="E365" s="44" t="s">
        <v>26</v>
      </c>
      <c r="F365" s="45">
        <v>1</v>
      </c>
      <c r="G365" s="46"/>
      <c r="H365" s="33" t="s">
        <v>29</v>
      </c>
      <c r="I365" s="16">
        <f t="shared" ref="I365:I382" si="180">TRUNC(G365*(1+HLOOKUP(H365,$F$6:$I$7,2,FALSE)),2)</f>
        <v>0</v>
      </c>
      <c r="J365" s="16">
        <f t="shared" ref="J365:J382" si="181">TRUNC(F365*I365,2)</f>
        <v>0</v>
      </c>
      <c r="K365" s="20"/>
      <c r="L365" s="8"/>
    </row>
    <row r="366" spans="1:12" s="78" customFormat="1" ht="38.25" outlineLevel="1" x14ac:dyDescent="0.2">
      <c r="A366" s="122" t="s">
        <v>446</v>
      </c>
      <c r="B366" s="42" t="s">
        <v>105</v>
      </c>
      <c r="C366" s="41" t="s">
        <v>160</v>
      </c>
      <c r="D366" s="43" t="s">
        <v>159</v>
      </c>
      <c r="E366" s="44" t="s">
        <v>26</v>
      </c>
      <c r="F366" s="45">
        <v>2</v>
      </c>
      <c r="G366" s="46"/>
      <c r="H366" s="33" t="s">
        <v>29</v>
      </c>
      <c r="I366" s="16">
        <f t="shared" si="180"/>
        <v>0</v>
      </c>
      <c r="J366" s="16">
        <f t="shared" si="181"/>
        <v>0</v>
      </c>
      <c r="K366" s="20"/>
      <c r="L366" s="8"/>
    </row>
    <row r="367" spans="1:12" s="78" customFormat="1" ht="38.25" outlineLevel="1" x14ac:dyDescent="0.2">
      <c r="A367" s="122" t="s">
        <v>447</v>
      </c>
      <c r="B367" s="42" t="s">
        <v>105</v>
      </c>
      <c r="C367" s="41" t="s">
        <v>158</v>
      </c>
      <c r="D367" s="43" t="s">
        <v>157</v>
      </c>
      <c r="E367" s="44" t="s">
        <v>26</v>
      </c>
      <c r="F367" s="45">
        <v>5</v>
      </c>
      <c r="G367" s="46"/>
      <c r="H367" s="33" t="s">
        <v>29</v>
      </c>
      <c r="I367" s="16">
        <f t="shared" si="180"/>
        <v>0</v>
      </c>
      <c r="J367" s="16">
        <f t="shared" si="181"/>
        <v>0</v>
      </c>
      <c r="K367" s="20"/>
      <c r="L367" s="8"/>
    </row>
    <row r="368" spans="1:12" s="78" customFormat="1" ht="38.25" outlineLevel="1" x14ac:dyDescent="0.2">
      <c r="A368" s="122" t="s">
        <v>448</v>
      </c>
      <c r="B368" s="42" t="s">
        <v>105</v>
      </c>
      <c r="C368" s="41" t="s">
        <v>154</v>
      </c>
      <c r="D368" s="43" t="s">
        <v>153</v>
      </c>
      <c r="E368" s="44" t="s">
        <v>26</v>
      </c>
      <c r="F368" s="45">
        <v>1</v>
      </c>
      <c r="G368" s="46"/>
      <c r="H368" s="33" t="s">
        <v>29</v>
      </c>
      <c r="I368" s="16">
        <f t="shared" si="180"/>
        <v>0</v>
      </c>
      <c r="J368" s="16">
        <f t="shared" si="181"/>
        <v>0</v>
      </c>
      <c r="K368" s="20"/>
      <c r="L368" s="8"/>
    </row>
    <row r="369" spans="1:12" s="78" customFormat="1" ht="38.25" outlineLevel="1" x14ac:dyDescent="0.2">
      <c r="A369" s="122" t="s">
        <v>449</v>
      </c>
      <c r="B369" s="42" t="s">
        <v>105</v>
      </c>
      <c r="C369" s="41" t="s">
        <v>156</v>
      </c>
      <c r="D369" s="43" t="s">
        <v>155</v>
      </c>
      <c r="E369" s="44" t="s">
        <v>26</v>
      </c>
      <c r="F369" s="45">
        <v>2</v>
      </c>
      <c r="G369" s="46"/>
      <c r="H369" s="33" t="s">
        <v>29</v>
      </c>
      <c r="I369" s="16">
        <f t="shared" si="180"/>
        <v>0</v>
      </c>
      <c r="J369" s="16">
        <f t="shared" si="181"/>
        <v>0</v>
      </c>
      <c r="K369" s="20"/>
      <c r="L369" s="8"/>
    </row>
    <row r="370" spans="1:12" s="78" customFormat="1" ht="38.25" outlineLevel="1" x14ac:dyDescent="0.2">
      <c r="A370" s="122" t="s">
        <v>450</v>
      </c>
      <c r="B370" s="42" t="s">
        <v>105</v>
      </c>
      <c r="C370" s="41" t="s">
        <v>755</v>
      </c>
      <c r="D370" s="43" t="s">
        <v>754</v>
      </c>
      <c r="E370" s="44" t="s">
        <v>26</v>
      </c>
      <c r="F370" s="45">
        <v>2</v>
      </c>
      <c r="G370" s="46"/>
      <c r="H370" s="33" t="s">
        <v>29</v>
      </c>
      <c r="I370" s="16">
        <f t="shared" si="180"/>
        <v>0</v>
      </c>
      <c r="J370" s="16">
        <f t="shared" si="181"/>
        <v>0</v>
      </c>
      <c r="K370" s="20"/>
      <c r="L370" s="8"/>
    </row>
    <row r="371" spans="1:12" s="78" customFormat="1" ht="38.25" outlineLevel="1" x14ac:dyDescent="0.2">
      <c r="A371" s="122" t="s">
        <v>451</v>
      </c>
      <c r="B371" s="42" t="s">
        <v>105</v>
      </c>
      <c r="C371" s="41" t="s">
        <v>757</v>
      </c>
      <c r="D371" s="43" t="s">
        <v>756</v>
      </c>
      <c r="E371" s="44" t="s">
        <v>26</v>
      </c>
      <c r="F371" s="45">
        <v>2</v>
      </c>
      <c r="G371" s="46"/>
      <c r="H371" s="33" t="s">
        <v>29</v>
      </c>
      <c r="I371" s="16">
        <f t="shared" si="180"/>
        <v>0</v>
      </c>
      <c r="J371" s="16">
        <f t="shared" si="181"/>
        <v>0</v>
      </c>
      <c r="K371" s="20"/>
      <c r="L371" s="8"/>
    </row>
    <row r="372" spans="1:12" s="78" customFormat="1" ht="38.25" outlineLevel="1" x14ac:dyDescent="0.2">
      <c r="A372" s="122" t="s">
        <v>452</v>
      </c>
      <c r="B372" s="42" t="s">
        <v>105</v>
      </c>
      <c r="C372" s="41" t="s">
        <v>759</v>
      </c>
      <c r="D372" s="43" t="s">
        <v>758</v>
      </c>
      <c r="E372" s="44" t="s">
        <v>26</v>
      </c>
      <c r="F372" s="45">
        <v>2</v>
      </c>
      <c r="G372" s="46"/>
      <c r="H372" s="33" t="s">
        <v>29</v>
      </c>
      <c r="I372" s="16">
        <f t="shared" si="180"/>
        <v>0</v>
      </c>
      <c r="J372" s="16">
        <f t="shared" si="181"/>
        <v>0</v>
      </c>
      <c r="K372" s="20"/>
      <c r="L372" s="8"/>
    </row>
    <row r="373" spans="1:12" s="78" customFormat="1" ht="25.5" outlineLevel="1" x14ac:dyDescent="0.2">
      <c r="A373" s="122" t="s">
        <v>453</v>
      </c>
      <c r="B373" s="42" t="s">
        <v>105</v>
      </c>
      <c r="C373" s="41" t="s">
        <v>168</v>
      </c>
      <c r="D373" s="43" t="s">
        <v>167</v>
      </c>
      <c r="E373" s="44" t="s">
        <v>26</v>
      </c>
      <c r="F373" s="45">
        <v>7</v>
      </c>
      <c r="G373" s="46"/>
      <c r="H373" s="33" t="s">
        <v>29</v>
      </c>
      <c r="I373" s="16">
        <f t="shared" si="180"/>
        <v>0</v>
      </c>
      <c r="J373" s="16">
        <f t="shared" si="181"/>
        <v>0</v>
      </c>
      <c r="K373" s="20"/>
      <c r="L373" s="8"/>
    </row>
    <row r="374" spans="1:12" s="78" customFormat="1" ht="38.25" outlineLevel="1" x14ac:dyDescent="0.2">
      <c r="A374" s="122" t="s">
        <v>454</v>
      </c>
      <c r="B374" s="42" t="s">
        <v>105</v>
      </c>
      <c r="C374" s="41" t="s">
        <v>171</v>
      </c>
      <c r="D374" s="43" t="s">
        <v>170</v>
      </c>
      <c r="E374" s="44" t="s">
        <v>26</v>
      </c>
      <c r="F374" s="45">
        <v>1</v>
      </c>
      <c r="G374" s="46"/>
      <c r="H374" s="33" t="s">
        <v>29</v>
      </c>
      <c r="I374" s="16">
        <f t="shared" si="180"/>
        <v>0</v>
      </c>
      <c r="J374" s="16">
        <f t="shared" si="181"/>
        <v>0</v>
      </c>
      <c r="K374" s="20"/>
      <c r="L374" s="8"/>
    </row>
    <row r="375" spans="1:12" s="78" customFormat="1" ht="38.25" outlineLevel="1" x14ac:dyDescent="0.2">
      <c r="A375" s="122" t="s">
        <v>455</v>
      </c>
      <c r="B375" s="42" t="s">
        <v>105</v>
      </c>
      <c r="C375" s="41" t="s">
        <v>762</v>
      </c>
      <c r="D375" s="43" t="s">
        <v>761</v>
      </c>
      <c r="E375" s="44" t="s">
        <v>26</v>
      </c>
      <c r="F375" s="45">
        <v>4</v>
      </c>
      <c r="G375" s="46"/>
      <c r="H375" s="33" t="s">
        <v>29</v>
      </c>
      <c r="I375" s="16">
        <f t="shared" si="180"/>
        <v>0</v>
      </c>
      <c r="J375" s="16">
        <f t="shared" si="181"/>
        <v>0</v>
      </c>
      <c r="K375" s="20"/>
      <c r="L375" s="8"/>
    </row>
    <row r="376" spans="1:12" s="78" customFormat="1" ht="38.25" outlineLevel="1" x14ac:dyDescent="0.2">
      <c r="A376" s="122" t="s">
        <v>461</v>
      </c>
      <c r="B376" s="42" t="s">
        <v>105</v>
      </c>
      <c r="C376" s="41" t="s">
        <v>763</v>
      </c>
      <c r="D376" s="43" t="s">
        <v>174</v>
      </c>
      <c r="E376" s="44" t="s">
        <v>26</v>
      </c>
      <c r="F376" s="45">
        <v>1</v>
      </c>
      <c r="G376" s="46"/>
      <c r="H376" s="33" t="s">
        <v>29</v>
      </c>
      <c r="I376" s="16">
        <f t="shared" si="180"/>
        <v>0</v>
      </c>
      <c r="J376" s="16">
        <f t="shared" si="181"/>
        <v>0</v>
      </c>
      <c r="K376" s="20"/>
      <c r="L376" s="8"/>
    </row>
    <row r="377" spans="1:12" s="78" customFormat="1" ht="38.25" outlineLevel="1" x14ac:dyDescent="0.2">
      <c r="A377" s="122" t="s">
        <v>677</v>
      </c>
      <c r="B377" s="42" t="s">
        <v>105</v>
      </c>
      <c r="C377" s="41" t="s">
        <v>765</v>
      </c>
      <c r="D377" s="43" t="s">
        <v>764</v>
      </c>
      <c r="E377" s="44" t="s">
        <v>26</v>
      </c>
      <c r="F377" s="45">
        <v>1</v>
      </c>
      <c r="G377" s="46"/>
      <c r="H377" s="33" t="s">
        <v>29</v>
      </c>
      <c r="I377" s="16">
        <f t="shared" si="180"/>
        <v>0</v>
      </c>
      <c r="J377" s="16">
        <f t="shared" si="181"/>
        <v>0</v>
      </c>
      <c r="K377" s="20"/>
      <c r="L377" s="8"/>
    </row>
    <row r="378" spans="1:12" s="78" customFormat="1" ht="51" outlineLevel="1" x14ac:dyDescent="0.2">
      <c r="A378" s="122" t="s">
        <v>678</v>
      </c>
      <c r="B378" s="42" t="s">
        <v>105</v>
      </c>
      <c r="C378" s="41" t="s">
        <v>819</v>
      </c>
      <c r="D378" s="43" t="s">
        <v>820</v>
      </c>
      <c r="E378" s="44" t="s">
        <v>26</v>
      </c>
      <c r="F378" s="45">
        <v>2</v>
      </c>
      <c r="G378" s="46"/>
      <c r="H378" s="33" t="s">
        <v>29</v>
      </c>
      <c r="I378" s="16">
        <f t="shared" ref="I378:I379" si="182">TRUNC(G378*(1+HLOOKUP(H378,$F$6:$I$7,2,FALSE)),2)</f>
        <v>0</v>
      </c>
      <c r="J378" s="16">
        <f t="shared" ref="J378:J379" si="183">TRUNC(F378*I378,2)</f>
        <v>0</v>
      </c>
      <c r="K378" s="20"/>
      <c r="L378" s="8"/>
    </row>
    <row r="379" spans="1:12" s="78" customFormat="1" ht="38.25" outlineLevel="1" x14ac:dyDescent="0.2">
      <c r="A379" s="122" t="s">
        <v>679</v>
      </c>
      <c r="B379" s="42" t="s">
        <v>105</v>
      </c>
      <c r="C379" s="41" t="s">
        <v>817</v>
      </c>
      <c r="D379" s="43" t="s">
        <v>818</v>
      </c>
      <c r="E379" s="44" t="s">
        <v>26</v>
      </c>
      <c r="F379" s="45">
        <v>1</v>
      </c>
      <c r="G379" s="46"/>
      <c r="H379" s="33" t="s">
        <v>29</v>
      </c>
      <c r="I379" s="16">
        <f t="shared" si="182"/>
        <v>0</v>
      </c>
      <c r="J379" s="16">
        <f t="shared" si="183"/>
        <v>0</v>
      </c>
      <c r="K379" s="20"/>
      <c r="L379" s="8"/>
    </row>
    <row r="380" spans="1:12" s="78" customFormat="1" ht="38.25" outlineLevel="1" x14ac:dyDescent="0.2">
      <c r="A380" s="122" t="s">
        <v>766</v>
      </c>
      <c r="B380" s="42" t="s">
        <v>105</v>
      </c>
      <c r="C380" s="41" t="s">
        <v>772</v>
      </c>
      <c r="D380" s="43" t="s">
        <v>771</v>
      </c>
      <c r="E380" s="44" t="s">
        <v>26</v>
      </c>
      <c r="F380" s="45">
        <v>1</v>
      </c>
      <c r="G380" s="46"/>
      <c r="H380" s="33" t="s">
        <v>29</v>
      </c>
      <c r="I380" s="16">
        <f t="shared" si="180"/>
        <v>0</v>
      </c>
      <c r="J380" s="16">
        <f t="shared" si="181"/>
        <v>0</v>
      </c>
      <c r="K380" s="20"/>
      <c r="L380" s="8"/>
    </row>
    <row r="381" spans="1:12" s="78" customFormat="1" ht="38.25" outlineLevel="1" x14ac:dyDescent="0.2">
      <c r="A381" s="122" t="s">
        <v>770</v>
      </c>
      <c r="B381" s="42" t="s">
        <v>105</v>
      </c>
      <c r="C381" s="41" t="s">
        <v>774</v>
      </c>
      <c r="D381" s="43" t="s">
        <v>773</v>
      </c>
      <c r="E381" s="44" t="s">
        <v>26</v>
      </c>
      <c r="F381" s="45">
        <v>1</v>
      </c>
      <c r="G381" s="46"/>
      <c r="H381" s="33" t="s">
        <v>29</v>
      </c>
      <c r="I381" s="16">
        <f t="shared" si="180"/>
        <v>0</v>
      </c>
      <c r="J381" s="16">
        <f t="shared" si="181"/>
        <v>0</v>
      </c>
      <c r="K381" s="20"/>
      <c r="L381" s="8"/>
    </row>
    <row r="382" spans="1:12" s="78" customFormat="1" ht="25.5" outlineLevel="1" x14ac:dyDescent="0.2">
      <c r="A382" s="122" t="s">
        <v>784</v>
      </c>
      <c r="B382" s="42" t="s">
        <v>105</v>
      </c>
      <c r="C382" s="41" t="s">
        <v>776</v>
      </c>
      <c r="D382" s="43" t="s">
        <v>775</v>
      </c>
      <c r="E382" s="44" t="s">
        <v>26</v>
      </c>
      <c r="F382" s="45">
        <v>1</v>
      </c>
      <c r="G382" s="46"/>
      <c r="H382" s="33" t="s">
        <v>29</v>
      </c>
      <c r="I382" s="16">
        <f t="shared" si="180"/>
        <v>0</v>
      </c>
      <c r="J382" s="16">
        <f t="shared" si="181"/>
        <v>0</v>
      </c>
      <c r="K382" s="20"/>
      <c r="L382" s="8"/>
    </row>
    <row r="383" spans="1:12" s="78" customFormat="1" ht="38.25" outlineLevel="1" x14ac:dyDescent="0.2">
      <c r="A383" s="122" t="s">
        <v>785</v>
      </c>
      <c r="B383" s="42" t="s">
        <v>105</v>
      </c>
      <c r="C383" s="41" t="s">
        <v>778</v>
      </c>
      <c r="D383" s="43" t="s">
        <v>777</v>
      </c>
      <c r="E383" s="44" t="s">
        <v>26</v>
      </c>
      <c r="F383" s="45">
        <v>1</v>
      </c>
      <c r="G383" s="46"/>
      <c r="H383" s="33" t="s">
        <v>29</v>
      </c>
      <c r="I383" s="16">
        <f t="shared" si="178"/>
        <v>0</v>
      </c>
      <c r="J383" s="16">
        <f t="shared" si="179"/>
        <v>0</v>
      </c>
      <c r="K383" s="20"/>
      <c r="L383" s="8"/>
    </row>
    <row r="384" spans="1:12" s="78" customFormat="1" ht="38.25" outlineLevel="1" x14ac:dyDescent="0.2">
      <c r="A384" s="122" t="s">
        <v>786</v>
      </c>
      <c r="B384" s="42" t="s">
        <v>105</v>
      </c>
      <c r="C384" s="41" t="s">
        <v>780</v>
      </c>
      <c r="D384" s="43" t="s">
        <v>779</v>
      </c>
      <c r="E384" s="44" t="s">
        <v>26</v>
      </c>
      <c r="F384" s="45">
        <v>2</v>
      </c>
      <c r="G384" s="46"/>
      <c r="H384" s="33" t="s">
        <v>29</v>
      </c>
      <c r="I384" s="16">
        <f t="shared" si="178"/>
        <v>0</v>
      </c>
      <c r="J384" s="16">
        <f t="shared" si="179"/>
        <v>0</v>
      </c>
      <c r="K384" s="20"/>
      <c r="L384" s="8"/>
    </row>
    <row r="385" spans="1:12" s="78" customFormat="1" ht="38.25" outlineLevel="1" x14ac:dyDescent="0.2">
      <c r="A385" s="122" t="s">
        <v>787</v>
      </c>
      <c r="B385" s="42" t="s">
        <v>105</v>
      </c>
      <c r="C385" s="41" t="s">
        <v>826</v>
      </c>
      <c r="D385" s="43" t="s">
        <v>825</v>
      </c>
      <c r="E385" s="44" t="s">
        <v>26</v>
      </c>
      <c r="F385" s="45">
        <v>2</v>
      </c>
      <c r="G385" s="46"/>
      <c r="H385" s="33" t="s">
        <v>29</v>
      </c>
      <c r="I385" s="16">
        <f t="shared" ref="I385" si="184">TRUNC(G385*(1+HLOOKUP(H385,$F$6:$I$7,2,FALSE)),2)</f>
        <v>0</v>
      </c>
      <c r="J385" s="16">
        <f t="shared" ref="J385" si="185">TRUNC(F385*I385,2)</f>
        <v>0</v>
      </c>
      <c r="K385" s="20"/>
      <c r="L385" s="8"/>
    </row>
    <row r="386" spans="1:12" s="78" customFormat="1" ht="38.25" outlineLevel="1" x14ac:dyDescent="0.2">
      <c r="A386" s="122" t="s">
        <v>788</v>
      </c>
      <c r="B386" s="42" t="s">
        <v>105</v>
      </c>
      <c r="C386" s="41" t="s">
        <v>144</v>
      </c>
      <c r="D386" s="43" t="s">
        <v>143</v>
      </c>
      <c r="E386" s="44" t="s">
        <v>26</v>
      </c>
      <c r="F386" s="45">
        <v>1</v>
      </c>
      <c r="G386" s="46"/>
      <c r="H386" s="33" t="s">
        <v>29</v>
      </c>
      <c r="I386" s="16">
        <f t="shared" si="178"/>
        <v>0</v>
      </c>
      <c r="J386" s="16">
        <f t="shared" si="179"/>
        <v>0</v>
      </c>
      <c r="K386" s="20"/>
      <c r="L386" s="8"/>
    </row>
    <row r="387" spans="1:12" s="78" customFormat="1" ht="38.25" outlineLevel="1" x14ac:dyDescent="0.2">
      <c r="A387" s="122" t="s">
        <v>789</v>
      </c>
      <c r="B387" s="42" t="s">
        <v>105</v>
      </c>
      <c r="C387" s="41" t="s">
        <v>124</v>
      </c>
      <c r="D387" s="43" t="s">
        <v>130</v>
      </c>
      <c r="E387" s="44" t="s">
        <v>26</v>
      </c>
      <c r="F387" s="45">
        <v>3</v>
      </c>
      <c r="G387" s="46"/>
      <c r="H387" s="33" t="s">
        <v>29</v>
      </c>
      <c r="I387" s="16">
        <f t="shared" si="178"/>
        <v>0</v>
      </c>
      <c r="J387" s="16">
        <f t="shared" si="179"/>
        <v>0</v>
      </c>
      <c r="K387" s="20"/>
      <c r="L387" s="8"/>
    </row>
    <row r="388" spans="1:12" s="78" customFormat="1" ht="38.25" outlineLevel="1" x14ac:dyDescent="0.2">
      <c r="A388" s="122" t="s">
        <v>790</v>
      </c>
      <c r="B388" s="42" t="s">
        <v>105</v>
      </c>
      <c r="C388" s="41" t="s">
        <v>129</v>
      </c>
      <c r="D388" s="43" t="s">
        <v>781</v>
      </c>
      <c r="E388" s="44" t="s">
        <v>26</v>
      </c>
      <c r="F388" s="45">
        <v>11</v>
      </c>
      <c r="G388" s="46"/>
      <c r="H388" s="33" t="s">
        <v>29</v>
      </c>
      <c r="I388" s="16">
        <f t="shared" si="178"/>
        <v>0</v>
      </c>
      <c r="J388" s="16">
        <f t="shared" si="179"/>
        <v>0</v>
      </c>
      <c r="K388" s="20"/>
      <c r="L388" s="8"/>
    </row>
    <row r="389" spans="1:12" s="78" customFormat="1" ht="38.25" outlineLevel="1" x14ac:dyDescent="0.2">
      <c r="A389" s="122" t="s">
        <v>791</v>
      </c>
      <c r="B389" s="42" t="s">
        <v>105</v>
      </c>
      <c r="C389" s="41" t="s">
        <v>783</v>
      </c>
      <c r="D389" s="43" t="s">
        <v>782</v>
      </c>
      <c r="E389" s="44" t="s">
        <v>26</v>
      </c>
      <c r="F389" s="45">
        <v>1</v>
      </c>
      <c r="G389" s="46"/>
      <c r="H389" s="33" t="s">
        <v>29</v>
      </c>
      <c r="I389" s="16">
        <f t="shared" ref="I389:I390" si="186">TRUNC(G389*(1+HLOOKUP(H389,$F$6:$I$7,2,FALSE)),2)</f>
        <v>0</v>
      </c>
      <c r="J389" s="16">
        <f t="shared" ref="J389:J390" si="187">TRUNC(F389*I389,2)</f>
        <v>0</v>
      </c>
      <c r="K389" s="20"/>
      <c r="L389" s="8"/>
    </row>
    <row r="390" spans="1:12" s="78" customFormat="1" ht="25.5" outlineLevel="1" x14ac:dyDescent="0.2">
      <c r="A390" s="122" t="s">
        <v>792</v>
      </c>
      <c r="B390" s="88" t="s">
        <v>105</v>
      </c>
      <c r="C390" s="41">
        <v>70140023</v>
      </c>
      <c r="D390" s="89" t="s">
        <v>123</v>
      </c>
      <c r="E390" s="90" t="s">
        <v>48</v>
      </c>
      <c r="F390" s="46">
        <v>2327.5</v>
      </c>
      <c r="G390" s="46"/>
      <c r="H390" s="33" t="s">
        <v>30</v>
      </c>
      <c r="I390" s="17">
        <f t="shared" si="186"/>
        <v>0</v>
      </c>
      <c r="J390" s="17">
        <f t="shared" si="187"/>
        <v>0</v>
      </c>
      <c r="K390" s="20"/>
      <c r="L390" s="8"/>
    </row>
    <row r="391" spans="1:12" s="78" customFormat="1" ht="25.5" outlineLevel="1" x14ac:dyDescent="0.2">
      <c r="A391" s="122" t="s">
        <v>793</v>
      </c>
      <c r="B391" s="88" t="s">
        <v>7</v>
      </c>
      <c r="C391" s="41" t="s">
        <v>97</v>
      </c>
      <c r="D391" s="83" t="str">
        <f>UPPER("Tubo de PVC rígido DEFoFo, DN= 250mm (DE= 274mm), inclusive conexões")</f>
        <v>TUBO DE PVC RÍGIDO DEFOFO, DN= 250MM (DE= 274MM), INCLUSIVE CONEXÕES</v>
      </c>
      <c r="E391" s="90" t="s">
        <v>13</v>
      </c>
      <c r="F391" s="46">
        <v>2217</v>
      </c>
      <c r="G391" s="46"/>
      <c r="H391" s="33" t="s">
        <v>29</v>
      </c>
      <c r="I391" s="17">
        <f t="shared" si="178"/>
        <v>0</v>
      </c>
      <c r="J391" s="17">
        <f t="shared" si="179"/>
        <v>0</v>
      </c>
      <c r="K391" s="55"/>
      <c r="L391" s="8"/>
    </row>
    <row r="392" spans="1:12" s="78" customFormat="1" ht="25.5" outlineLevel="1" x14ac:dyDescent="0.2">
      <c r="A392" s="122" t="s">
        <v>794</v>
      </c>
      <c r="B392" s="88" t="s">
        <v>7</v>
      </c>
      <c r="C392" s="41" t="s">
        <v>96</v>
      </c>
      <c r="D392" s="89" t="str">
        <f>UPPER("Tubo de PVC rígido DEFoFo, DN= 200mm (DE= 222mm), inclusive conexões")</f>
        <v>TUBO DE PVC RÍGIDO DEFOFO, DN= 200MM (DE= 222MM), INCLUSIVE CONEXÕES</v>
      </c>
      <c r="E392" s="90" t="s">
        <v>13</v>
      </c>
      <c r="F392" s="46">
        <v>12</v>
      </c>
      <c r="G392" s="46"/>
      <c r="H392" s="33" t="s">
        <v>29</v>
      </c>
      <c r="I392" s="17">
        <f t="shared" si="178"/>
        <v>0</v>
      </c>
      <c r="J392" s="17">
        <f t="shared" si="179"/>
        <v>0</v>
      </c>
      <c r="K392" s="55"/>
      <c r="L392" s="8"/>
    </row>
    <row r="393" spans="1:12" s="78" customFormat="1" ht="25.5" outlineLevel="1" x14ac:dyDescent="0.2">
      <c r="A393" s="122" t="s">
        <v>795</v>
      </c>
      <c r="B393" s="88" t="s">
        <v>7</v>
      </c>
      <c r="C393" s="41" t="s">
        <v>169</v>
      </c>
      <c r="D393" s="89" t="str">
        <f>UPPER("Tubo de PVC rígido DEFoFo, DN= 150mm (DE= 170mm), inclusive conexões")</f>
        <v>TUBO DE PVC RÍGIDO DEFOFO, DN= 150MM (DE= 170MM), INCLUSIVE CONEXÕES</v>
      </c>
      <c r="E393" s="90" t="s">
        <v>13</v>
      </c>
      <c r="F393" s="46">
        <v>18</v>
      </c>
      <c r="G393" s="46"/>
      <c r="H393" s="33" t="s">
        <v>29</v>
      </c>
      <c r="I393" s="17">
        <f t="shared" si="178"/>
        <v>0</v>
      </c>
      <c r="J393" s="17">
        <f t="shared" si="179"/>
        <v>0</v>
      </c>
      <c r="K393" s="55"/>
      <c r="L393" s="8"/>
    </row>
    <row r="394" spans="1:12" s="78" customFormat="1" ht="25.5" outlineLevel="1" x14ac:dyDescent="0.2">
      <c r="A394" s="122" t="s">
        <v>796</v>
      </c>
      <c r="B394" s="88" t="s">
        <v>7</v>
      </c>
      <c r="C394" s="41" t="s">
        <v>767</v>
      </c>
      <c r="D394" s="89" t="str">
        <f>UPPER("Tubo de PVC rígido DEFoFo, DN= 100mm (DE= 118mm), inclusive conexões")</f>
        <v>TUBO DE PVC RÍGIDO DEFOFO, DN= 100MM (DE= 118MM), INCLUSIVE CONEXÕES</v>
      </c>
      <c r="E394" s="90" t="s">
        <v>13</v>
      </c>
      <c r="F394" s="46">
        <v>18</v>
      </c>
      <c r="G394" s="46"/>
      <c r="H394" s="33" t="s">
        <v>29</v>
      </c>
      <c r="I394" s="17">
        <f t="shared" si="178"/>
        <v>0</v>
      </c>
      <c r="J394" s="17">
        <f t="shared" si="179"/>
        <v>0</v>
      </c>
      <c r="K394" s="55"/>
      <c r="L394" s="8"/>
    </row>
    <row r="395" spans="1:12" s="78" customFormat="1" ht="15.75" outlineLevel="1" x14ac:dyDescent="0.2">
      <c r="A395" s="114" t="s">
        <v>184</v>
      </c>
      <c r="B395" s="115"/>
      <c r="C395" s="116"/>
      <c r="D395" s="125" t="s">
        <v>823</v>
      </c>
      <c r="E395" s="118"/>
      <c r="F395" s="119"/>
      <c r="G395" s="119"/>
      <c r="H395" s="120"/>
      <c r="I395" s="119"/>
      <c r="J395" s="119"/>
      <c r="K395" s="121"/>
      <c r="L395" s="8"/>
    </row>
    <row r="396" spans="1:12" s="78" customFormat="1" ht="51" outlineLevel="1" x14ac:dyDescent="0.2">
      <c r="A396" s="18" t="s">
        <v>456</v>
      </c>
      <c r="B396" s="41" t="s">
        <v>5</v>
      </c>
      <c r="C396" s="88">
        <v>99290</v>
      </c>
      <c r="D396" s="89" t="s">
        <v>514</v>
      </c>
      <c r="E396" s="90" t="s">
        <v>26</v>
      </c>
      <c r="F396" s="46">
        <v>1</v>
      </c>
      <c r="G396" s="46"/>
      <c r="H396" s="47" t="s">
        <v>29</v>
      </c>
      <c r="I396" s="17">
        <f t="shared" ref="I396:I398" si="188">TRUNC(G396*(1+HLOOKUP(H396,$F$6:$I$7,2,FALSE)),2)</f>
        <v>0</v>
      </c>
      <c r="J396" s="46">
        <f t="shared" ref="J396:J398" si="189">TRUNC(F396*I396,2)</f>
        <v>0</v>
      </c>
      <c r="K396" s="91"/>
      <c r="L396" s="8"/>
    </row>
    <row r="397" spans="1:12" s="78" customFormat="1" ht="38.25" outlineLevel="1" x14ac:dyDescent="0.2">
      <c r="A397" s="18" t="s">
        <v>457</v>
      </c>
      <c r="B397" s="41" t="s">
        <v>5</v>
      </c>
      <c r="C397" s="88">
        <v>97736</v>
      </c>
      <c r="D397" s="89" t="s">
        <v>512</v>
      </c>
      <c r="E397" s="90" t="s">
        <v>14</v>
      </c>
      <c r="F397" s="46">
        <v>0.18</v>
      </c>
      <c r="G397" s="46"/>
      <c r="H397" s="47" t="s">
        <v>29</v>
      </c>
      <c r="I397" s="17">
        <f t="shared" si="188"/>
        <v>0</v>
      </c>
      <c r="J397" s="46">
        <f t="shared" si="189"/>
        <v>0</v>
      </c>
      <c r="K397" s="91"/>
      <c r="L397" s="8"/>
    </row>
    <row r="398" spans="1:12" s="78" customFormat="1" ht="25.5" outlineLevel="1" x14ac:dyDescent="0.2">
      <c r="A398" s="18" t="s">
        <v>799</v>
      </c>
      <c r="B398" s="41" t="s">
        <v>7</v>
      </c>
      <c r="C398" s="88" t="s">
        <v>513</v>
      </c>
      <c r="D398" s="89" t="str">
        <f>UPPER("Tampão em ferro fundido, diâmetro de 600 mm, classe C 300 (ruptura &gt; 300 Kn)")</f>
        <v>TAMPÃO EM FERRO FUNDIDO, DIÂMETRO DE 600 MM, CLASSE C 300 (RUPTURA &gt; 300 KN)</v>
      </c>
      <c r="E398" s="90" t="s">
        <v>26</v>
      </c>
      <c r="F398" s="46">
        <v>1</v>
      </c>
      <c r="G398" s="46"/>
      <c r="H398" s="47" t="s">
        <v>29</v>
      </c>
      <c r="I398" s="17">
        <f t="shared" si="188"/>
        <v>0</v>
      </c>
      <c r="J398" s="46">
        <f t="shared" si="189"/>
        <v>0</v>
      </c>
      <c r="K398" s="91"/>
      <c r="L398" s="8"/>
    </row>
    <row r="399" spans="1:12" s="78" customFormat="1" ht="15.75" outlineLevel="1" x14ac:dyDescent="0.2">
      <c r="A399" s="114" t="s">
        <v>797</v>
      </c>
      <c r="B399" s="115"/>
      <c r="C399" s="116"/>
      <c r="D399" s="125" t="s">
        <v>822</v>
      </c>
      <c r="E399" s="118"/>
      <c r="F399" s="119"/>
      <c r="G399" s="119"/>
      <c r="H399" s="120"/>
      <c r="I399" s="119"/>
      <c r="J399" s="119"/>
      <c r="K399" s="121"/>
      <c r="L399" s="8"/>
    </row>
    <row r="400" spans="1:12" s="78" customFormat="1" ht="51" outlineLevel="1" x14ac:dyDescent="0.2">
      <c r="A400" s="18" t="s">
        <v>800</v>
      </c>
      <c r="B400" s="41" t="s">
        <v>5</v>
      </c>
      <c r="C400" s="88">
        <v>99290</v>
      </c>
      <c r="D400" s="89" t="s">
        <v>514</v>
      </c>
      <c r="E400" s="90" t="s">
        <v>26</v>
      </c>
      <c r="F400" s="46">
        <v>1</v>
      </c>
      <c r="G400" s="46"/>
      <c r="H400" s="47" t="s">
        <v>29</v>
      </c>
      <c r="I400" s="17">
        <f t="shared" ref="I400:I402" si="190">TRUNC(G400*(1+HLOOKUP(H400,$F$6:$I$7,2,FALSE)),2)</f>
        <v>0</v>
      </c>
      <c r="J400" s="46">
        <f t="shared" ref="J400:J402" si="191">TRUNC(F400*I400,2)</f>
        <v>0</v>
      </c>
      <c r="K400" s="91"/>
      <c r="L400" s="8"/>
    </row>
    <row r="401" spans="1:12" s="78" customFormat="1" ht="38.25" outlineLevel="1" x14ac:dyDescent="0.2">
      <c r="A401" s="18" t="s">
        <v>801</v>
      </c>
      <c r="B401" s="41" t="s">
        <v>5</v>
      </c>
      <c r="C401" s="88">
        <v>97736</v>
      </c>
      <c r="D401" s="89" t="s">
        <v>512</v>
      </c>
      <c r="E401" s="90" t="s">
        <v>14</v>
      </c>
      <c r="F401" s="46">
        <v>0.18</v>
      </c>
      <c r="G401" s="46"/>
      <c r="H401" s="47" t="s">
        <v>29</v>
      </c>
      <c r="I401" s="17">
        <f t="shared" si="190"/>
        <v>0</v>
      </c>
      <c r="J401" s="46">
        <f t="shared" si="191"/>
        <v>0</v>
      </c>
      <c r="K401" s="91"/>
      <c r="L401" s="8"/>
    </row>
    <row r="402" spans="1:12" s="78" customFormat="1" ht="25.5" outlineLevel="1" x14ac:dyDescent="0.2">
      <c r="A402" s="18" t="s">
        <v>821</v>
      </c>
      <c r="B402" s="41" t="s">
        <v>7</v>
      </c>
      <c r="C402" s="88" t="s">
        <v>513</v>
      </c>
      <c r="D402" s="89" t="str">
        <f>UPPER("Tampão em ferro fundido, diâmetro de 600 mm, classe C 300 (ruptura &gt; 300 Kn)")</f>
        <v>TAMPÃO EM FERRO FUNDIDO, DIÂMETRO DE 600 MM, CLASSE C 300 (RUPTURA &gt; 300 KN)</v>
      </c>
      <c r="E402" s="90" t="s">
        <v>26</v>
      </c>
      <c r="F402" s="46">
        <v>1</v>
      </c>
      <c r="G402" s="46"/>
      <c r="H402" s="47" t="s">
        <v>29</v>
      </c>
      <c r="I402" s="17">
        <f t="shared" si="190"/>
        <v>0</v>
      </c>
      <c r="J402" s="46">
        <f t="shared" si="191"/>
        <v>0</v>
      </c>
      <c r="K402" s="91"/>
      <c r="L402" s="8"/>
    </row>
    <row r="403" spans="1:12" s="78" customFormat="1" ht="15.75" outlineLevel="1" x14ac:dyDescent="0.2">
      <c r="A403" s="114" t="s">
        <v>824</v>
      </c>
      <c r="B403" s="115"/>
      <c r="C403" s="116"/>
      <c r="D403" s="125" t="s">
        <v>798</v>
      </c>
      <c r="E403" s="118"/>
      <c r="F403" s="119"/>
      <c r="G403" s="119"/>
      <c r="H403" s="120"/>
      <c r="I403" s="119"/>
      <c r="J403" s="119"/>
      <c r="K403" s="121"/>
      <c r="L403" s="8"/>
    </row>
    <row r="404" spans="1:12" s="78" customFormat="1" ht="25.5" outlineLevel="1" x14ac:dyDescent="0.2">
      <c r="A404" s="18" t="s">
        <v>829</v>
      </c>
      <c r="B404" s="42" t="s">
        <v>7</v>
      </c>
      <c r="C404" s="41" t="s">
        <v>827</v>
      </c>
      <c r="D404" s="43" t="str">
        <f>UPPER("Alvenaria de embasamento em bloco de concreto de 19 x 19 x 39 cm - classe A")</f>
        <v>ALVENARIA DE EMBASAMENTO EM BLOCO DE CONCRETO DE 19 X 19 X 39 CM - CLASSE A</v>
      </c>
      <c r="E404" s="44" t="s">
        <v>11</v>
      </c>
      <c r="F404" s="45">
        <v>17</v>
      </c>
      <c r="G404" s="46"/>
      <c r="H404" s="33" t="s">
        <v>29</v>
      </c>
      <c r="I404" s="16">
        <f t="shared" ref="I404:I408" si="192">TRUNC(G404*(1+HLOOKUP(H404,$F$6:$I$7,2,FALSE)),2)</f>
        <v>0</v>
      </c>
      <c r="J404" s="16">
        <f t="shared" ref="J404:J408" si="193">TRUNC(F404*I404,2)</f>
        <v>0</v>
      </c>
      <c r="K404" s="20"/>
      <c r="L404" s="8"/>
    </row>
    <row r="405" spans="1:12" s="78" customFormat="1" ht="25.5" outlineLevel="1" x14ac:dyDescent="0.2">
      <c r="A405" s="18" t="s">
        <v>830</v>
      </c>
      <c r="B405" s="42" t="s">
        <v>5</v>
      </c>
      <c r="C405" s="41">
        <v>89993</v>
      </c>
      <c r="D405" s="43" t="s">
        <v>828</v>
      </c>
      <c r="E405" s="44" t="s">
        <v>14</v>
      </c>
      <c r="F405" s="45">
        <v>1.88</v>
      </c>
      <c r="G405" s="46"/>
      <c r="H405" s="33" t="s">
        <v>29</v>
      </c>
      <c r="I405" s="16">
        <f t="shared" si="192"/>
        <v>0</v>
      </c>
      <c r="J405" s="16">
        <f t="shared" si="193"/>
        <v>0</v>
      </c>
      <c r="K405" s="20"/>
      <c r="L405" s="8"/>
    </row>
    <row r="406" spans="1:12" s="78" customFormat="1" ht="25.5" outlineLevel="1" x14ac:dyDescent="0.2">
      <c r="A406" s="18" t="s">
        <v>831</v>
      </c>
      <c r="B406" s="42" t="s">
        <v>5</v>
      </c>
      <c r="C406" s="41">
        <v>89995</v>
      </c>
      <c r="D406" s="43" t="s">
        <v>833</v>
      </c>
      <c r="E406" s="44" t="s">
        <v>14</v>
      </c>
      <c r="F406" s="45">
        <v>0.6</v>
      </c>
      <c r="G406" s="46"/>
      <c r="H406" s="33" t="s">
        <v>29</v>
      </c>
      <c r="I406" s="16">
        <f t="shared" ref="I406" si="194">TRUNC(G406*(1+HLOOKUP(H406,$F$6:$I$7,2,FALSE)),2)</f>
        <v>0</v>
      </c>
      <c r="J406" s="16">
        <f t="shared" ref="J406" si="195">TRUNC(F406*I406,2)</f>
        <v>0</v>
      </c>
      <c r="K406" s="48"/>
      <c r="L406" s="8"/>
    </row>
    <row r="407" spans="1:12" s="78" customFormat="1" ht="25.5" outlineLevel="1" x14ac:dyDescent="0.2">
      <c r="A407" s="18" t="s">
        <v>832</v>
      </c>
      <c r="B407" s="42" t="s">
        <v>7</v>
      </c>
      <c r="C407" s="41" t="s">
        <v>47</v>
      </c>
      <c r="D407" s="43" t="str">
        <f>UPPER("Armadura em barra de aço CA-50 (A ou B) fyk = 500 Mpa")</f>
        <v>ARMADURA EM BARRA DE AÇO CA-50 (A OU B) FYK = 500 MPA</v>
      </c>
      <c r="E407" s="44" t="s">
        <v>48</v>
      </c>
      <c r="F407" s="45">
        <v>161.5</v>
      </c>
      <c r="G407" s="46"/>
      <c r="H407" s="33" t="s">
        <v>29</v>
      </c>
      <c r="I407" s="16">
        <f t="shared" ref="I407" si="196">TRUNC(G407*(1+HLOOKUP(H407,$F$6:$I$7,2,FALSE)),2)</f>
        <v>0</v>
      </c>
      <c r="J407" s="16">
        <f t="shared" ref="J407" si="197">TRUNC(F407*I407,2)</f>
        <v>0</v>
      </c>
      <c r="K407" s="48"/>
      <c r="L407" s="8"/>
    </row>
    <row r="408" spans="1:12" s="78" customFormat="1" ht="38.25" outlineLevel="1" x14ac:dyDescent="0.2">
      <c r="A408" s="18" t="s">
        <v>834</v>
      </c>
      <c r="B408" s="41" t="s">
        <v>5</v>
      </c>
      <c r="C408" s="88">
        <v>97736</v>
      </c>
      <c r="D408" s="89" t="s">
        <v>880</v>
      </c>
      <c r="E408" s="90" t="s">
        <v>14</v>
      </c>
      <c r="F408" s="46">
        <v>0.35</v>
      </c>
      <c r="G408" s="46"/>
      <c r="H408" s="47" t="s">
        <v>29</v>
      </c>
      <c r="I408" s="17">
        <f t="shared" si="192"/>
        <v>0</v>
      </c>
      <c r="J408" s="46">
        <f t="shared" si="193"/>
        <v>0</v>
      </c>
      <c r="K408" s="91"/>
      <c r="L408" s="8"/>
    </row>
    <row r="409" spans="1:12" s="78" customFormat="1" ht="15.75" outlineLevel="1" x14ac:dyDescent="0.2">
      <c r="A409" s="114" t="s">
        <v>835</v>
      </c>
      <c r="B409" s="115"/>
      <c r="C409" s="116"/>
      <c r="D409" s="125" t="s">
        <v>475</v>
      </c>
      <c r="E409" s="118"/>
      <c r="F409" s="119"/>
      <c r="G409" s="119"/>
      <c r="H409" s="120"/>
      <c r="I409" s="119"/>
      <c r="J409" s="119"/>
      <c r="K409" s="121"/>
      <c r="L409" s="8"/>
    </row>
    <row r="410" spans="1:12" s="78" customFormat="1" ht="38.25" outlineLevel="1" x14ac:dyDescent="0.2">
      <c r="A410" s="18" t="s">
        <v>836</v>
      </c>
      <c r="B410" s="12" t="s">
        <v>5</v>
      </c>
      <c r="C410" s="82">
        <v>102098</v>
      </c>
      <c r="D410" s="83" t="s">
        <v>149</v>
      </c>
      <c r="E410" s="84" t="s">
        <v>14</v>
      </c>
      <c r="F410" s="17">
        <v>26.77</v>
      </c>
      <c r="G410" s="17"/>
      <c r="H410" s="33" t="s">
        <v>29</v>
      </c>
      <c r="I410" s="16">
        <f t="shared" si="167"/>
        <v>0</v>
      </c>
      <c r="J410" s="17">
        <f t="shared" ref="J410" si="198">TRUNC(F410*I410,2)</f>
        <v>0</v>
      </c>
      <c r="K410" s="55"/>
      <c r="L410" s="86"/>
    </row>
    <row r="411" spans="1:12" s="78" customFormat="1" ht="38.25" outlineLevel="1" x14ac:dyDescent="0.2">
      <c r="A411" s="18" t="s">
        <v>837</v>
      </c>
      <c r="B411" s="12" t="s">
        <v>5</v>
      </c>
      <c r="C411" s="82">
        <v>95875</v>
      </c>
      <c r="D411" s="83" t="s">
        <v>150</v>
      </c>
      <c r="E411" s="84" t="s">
        <v>79</v>
      </c>
      <c r="F411" s="17">
        <v>802.98</v>
      </c>
      <c r="G411" s="17"/>
      <c r="H411" s="33" t="s">
        <v>29</v>
      </c>
      <c r="I411" s="16">
        <f t="shared" ref="I411" si="199">TRUNC(G411*(1+HLOOKUP(H411,$F$6:$I$7,2,FALSE)),2)</f>
        <v>0</v>
      </c>
      <c r="J411" s="17">
        <f t="shared" ref="J411" si="200">TRUNC(F411*I411,2)</f>
        <v>0</v>
      </c>
      <c r="K411" s="55"/>
      <c r="L411" s="86"/>
    </row>
    <row r="412" spans="1:12" s="78" customFormat="1" ht="15.75" outlineLevel="1" x14ac:dyDescent="0.2">
      <c r="A412" s="18"/>
      <c r="B412" s="42"/>
      <c r="C412" s="41"/>
      <c r="D412" s="43"/>
      <c r="E412" s="44"/>
      <c r="F412" s="45"/>
      <c r="G412" s="46"/>
      <c r="H412" s="33"/>
      <c r="I412" s="16"/>
      <c r="J412" s="16"/>
      <c r="K412" s="20"/>
      <c r="L412" s="8"/>
    </row>
    <row r="413" spans="1:12" s="81" customFormat="1" ht="30" customHeight="1" x14ac:dyDescent="0.2">
      <c r="A413" s="51" t="s">
        <v>38</v>
      </c>
      <c r="B413" s="51"/>
      <c r="C413" s="51"/>
      <c r="D413" s="51"/>
      <c r="E413" s="51"/>
      <c r="F413" s="51"/>
      <c r="G413" s="51"/>
      <c r="H413" s="51"/>
      <c r="I413" s="51"/>
      <c r="J413" s="51"/>
      <c r="K413" s="51"/>
      <c r="L413" s="50"/>
    </row>
    <row r="414" spans="1:12" s="77" customFormat="1" ht="30" customHeight="1" x14ac:dyDescent="0.2">
      <c r="A414" s="191" t="s">
        <v>36</v>
      </c>
      <c r="B414" s="192"/>
      <c r="C414" s="192"/>
      <c r="D414" s="192"/>
      <c r="E414" s="192"/>
      <c r="F414" s="192"/>
      <c r="G414" s="192"/>
      <c r="H414" s="192"/>
      <c r="I414" s="192"/>
      <c r="J414" s="73">
        <f>SUM(J10:J412)/2</f>
        <v>0</v>
      </c>
      <c r="K414" s="74" t="e">
        <f>J414/$J$414</f>
        <v>#DIV/0!</v>
      </c>
      <c r="L414" s="9"/>
    </row>
    <row r="415" spans="1:12" s="78" customFormat="1" x14ac:dyDescent="0.2">
      <c r="A415" s="56"/>
      <c r="B415" s="52"/>
      <c r="C415" s="56"/>
      <c r="D415" s="56"/>
      <c r="E415" s="56"/>
      <c r="F415" s="56"/>
      <c r="G415" s="56"/>
      <c r="H415" s="56"/>
      <c r="I415" s="56"/>
      <c r="J415" s="56"/>
      <c r="K415" s="56"/>
      <c r="L415" s="10"/>
    </row>
    <row r="416" spans="1:12" s="78" customFormat="1" x14ac:dyDescent="0.2">
      <c r="A416" s="57"/>
      <c r="B416" s="58"/>
      <c r="C416" s="54"/>
      <c r="D416" s="5"/>
      <c r="E416" s="2"/>
      <c r="F416" s="3"/>
      <c r="G416" s="3"/>
      <c r="H416" s="3"/>
      <c r="I416" s="3"/>
      <c r="J416" s="4"/>
      <c r="K416" s="53"/>
      <c r="L416" s="11"/>
    </row>
    <row r="417" spans="1:12" s="78" customFormat="1" x14ac:dyDescent="0.2">
      <c r="A417" s="188" t="s">
        <v>921</v>
      </c>
      <c r="B417" s="188"/>
      <c r="C417" s="188"/>
      <c r="D417" s="188"/>
      <c r="E417" s="188"/>
      <c r="F417" s="188"/>
      <c r="G417" s="188"/>
      <c r="H417" s="188"/>
      <c r="I417" s="188"/>
      <c r="J417" s="188"/>
      <c r="K417" s="188"/>
      <c r="L417" s="11"/>
    </row>
  </sheetData>
  <mergeCells count="6">
    <mergeCell ref="A417:K417"/>
    <mergeCell ref="A1:B1"/>
    <mergeCell ref="C1:K1"/>
    <mergeCell ref="A414:I414"/>
    <mergeCell ref="A4:E4"/>
    <mergeCell ref="G3:K4"/>
  </mergeCells>
  <dataValidations disablePrompts="1" count="2">
    <dataValidation type="list" allowBlank="1" showInputMessage="1" showErrorMessage="1" sqref="H94:H222 H347 H334 H85 H38 H53 H80 H67 H412 H343 H87 H32:H36 H58 H11:H30 H338 H71 H92 H250:H321 H325:H330 H399 H353:H395 H403:H407 H409 H224:H248">
      <formula1>$F$6:$I$6</formula1>
    </dataValidation>
    <dataValidation type="list" allowBlank="1" showInputMessage="1" showErrorMessage="1" sqref="H39:H52 H344:H346 H54:H57 H410:H411 H81:H84 H408 H86 H59:H66 H72:H79 H339:H341 H68:H70 H331:H333 H335:H337 H88:H90 H396:H398 H322:H324 H400:H402 H348:H352">
      <formula1>$G$6:$J$6</formula1>
    </dataValidation>
  </dataValidations>
  <printOptions horizontalCentered="1"/>
  <pageMargins left="0.78740157480314965" right="0.39370078740157483" top="0.98425196850393704" bottom="0.59055118110236227" header="0.39370078740157483" footer="0.19685039370078741"/>
  <pageSetup paperSize="9" scale="83" firstPageNumber="0" fitToHeight="0" orientation="landscape" r:id="rId1"/>
  <headerFooter>
    <oddFooter>Página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95"/>
  <sheetViews>
    <sheetView view="pageBreakPreview" zoomScale="115" zoomScaleNormal="100" zoomScaleSheetLayoutView="115" workbookViewId="0">
      <selection activeCell="G27" sqref="G27"/>
    </sheetView>
  </sheetViews>
  <sheetFormatPr defaultRowHeight="12.75" x14ac:dyDescent="0.2"/>
  <cols>
    <col min="1" max="1" width="13.28515625" style="1" bestFit="1" customWidth="1"/>
    <col min="2" max="3" width="20.7109375" style="1" customWidth="1"/>
    <col min="4" max="4" width="11.5703125" style="167" customWidth="1"/>
    <col min="5" max="5" width="3.85546875" style="1" customWidth="1"/>
    <col min="6" max="8" width="13.28515625" style="1" customWidth="1"/>
  </cols>
  <sheetData>
    <row r="1" spans="1:8" ht="113.25" customHeight="1" thickBot="1" x14ac:dyDescent="0.25">
      <c r="A1" s="140"/>
      <c r="B1" s="190" t="s">
        <v>922</v>
      </c>
      <c r="C1" s="190"/>
      <c r="D1" s="190"/>
      <c r="E1" s="190"/>
      <c r="F1" s="190"/>
      <c r="G1" s="190"/>
      <c r="H1" s="190"/>
    </row>
    <row r="2" spans="1:8" ht="14.25" x14ac:dyDescent="0.2">
      <c r="A2" s="141"/>
      <c r="B2" s="19"/>
      <c r="C2" s="19"/>
      <c r="D2" s="19"/>
      <c r="E2" s="19"/>
      <c r="F2" s="19"/>
      <c r="G2" s="19"/>
      <c r="H2" s="19"/>
    </row>
    <row r="3" spans="1:8" x14ac:dyDescent="0.2">
      <c r="A3" s="22" t="s">
        <v>884</v>
      </c>
      <c r="B3" s="23"/>
      <c r="C3" s="24"/>
      <c r="D3" s="24"/>
      <c r="E3" s="142"/>
      <c r="F3" s="142"/>
      <c r="G3" s="142"/>
      <c r="H3" s="143"/>
    </row>
    <row r="4" spans="1:8" x14ac:dyDescent="0.2">
      <c r="A4" s="193" t="str">
        <f>'ITEM 2 - Orçamento'!A4:E4</f>
        <v>CONSTRUÇÃO DO CENTRO DE PRODUÇÃO, RESERVAÇÃO E DISTRIBUIÇÃO CEDRINHO</v>
      </c>
      <c r="B4" s="194"/>
      <c r="C4" s="194"/>
      <c r="D4" s="194"/>
      <c r="E4" s="194"/>
      <c r="F4" s="194"/>
      <c r="G4" s="194"/>
      <c r="H4" s="195"/>
    </row>
    <row r="5" spans="1:8" ht="14.25" x14ac:dyDescent="0.2">
      <c r="A5" s="144"/>
      <c r="B5" s="19"/>
      <c r="C5" s="19"/>
      <c r="D5" s="19"/>
      <c r="E5" s="19"/>
      <c r="F5" s="19"/>
      <c r="G5" s="19"/>
      <c r="H5" s="19"/>
    </row>
    <row r="6" spans="1:8" ht="14.25" x14ac:dyDescent="0.2">
      <c r="A6" s="22" t="s">
        <v>28</v>
      </c>
      <c r="B6" s="23"/>
      <c r="C6" s="24"/>
      <c r="D6" s="24"/>
      <c r="E6" s="19"/>
      <c r="F6" s="145"/>
      <c r="G6" s="25" t="s">
        <v>33</v>
      </c>
      <c r="H6" s="26" t="s">
        <v>32</v>
      </c>
    </row>
    <row r="7" spans="1:8" x14ac:dyDescent="0.2">
      <c r="A7" s="193" t="str">
        <f>'ITEM 2 - Orçamento'!A7</f>
        <v>AV. FABER, S/N° - DISTRITO INDUSTRIAL - SÃO CARLOS - SP</v>
      </c>
      <c r="B7" s="194"/>
      <c r="C7" s="194"/>
      <c r="D7" s="194"/>
      <c r="E7" s="194"/>
      <c r="F7" s="195"/>
      <c r="G7" s="146">
        <f>'ITEM 2 - Orçamento'!J7</f>
        <v>45383</v>
      </c>
      <c r="H7" s="29" t="str">
        <f>'ITEM 2 - Orçamento'!K7</f>
        <v>00</v>
      </c>
    </row>
    <row r="8" spans="1:8" x14ac:dyDescent="0.2">
      <c r="A8" s="5"/>
      <c r="B8" s="5"/>
      <c r="C8" s="5"/>
      <c r="D8" s="54"/>
      <c r="E8" s="5"/>
      <c r="F8" s="5"/>
      <c r="G8" s="5"/>
      <c r="H8" s="5"/>
    </row>
    <row r="9" spans="1:8" x14ac:dyDescent="0.2">
      <c r="A9" s="201" t="s">
        <v>885</v>
      </c>
      <c r="B9" s="202"/>
      <c r="C9" s="202"/>
      <c r="D9" s="202"/>
      <c r="E9" s="202"/>
      <c r="F9" s="202"/>
      <c r="G9" s="202"/>
      <c r="H9" s="147">
        <v>1</v>
      </c>
    </row>
    <row r="10" spans="1:8" x14ac:dyDescent="0.2">
      <c r="A10" s="203" t="s">
        <v>886</v>
      </c>
      <c r="B10" s="204"/>
      <c r="C10" s="204"/>
      <c r="D10" s="204"/>
      <c r="E10" s="204"/>
      <c r="F10" s="204"/>
      <c r="G10" s="204"/>
      <c r="H10" s="148">
        <v>0.02</v>
      </c>
    </row>
    <row r="11" spans="1:8" x14ac:dyDescent="0.2">
      <c r="A11" s="149"/>
      <c r="B11" s="149"/>
      <c r="C11" s="149"/>
      <c r="D11" s="149"/>
      <c r="E11" s="149"/>
      <c r="F11" s="149"/>
      <c r="G11" s="149"/>
      <c r="H11" s="150"/>
    </row>
    <row r="12" spans="1:8" x14ac:dyDescent="0.2">
      <c r="A12" s="5"/>
      <c r="B12" s="5"/>
      <c r="C12" s="5"/>
      <c r="D12" s="54"/>
      <c r="E12" s="5"/>
      <c r="F12" s="5"/>
      <c r="G12" s="5"/>
      <c r="H12" s="5"/>
    </row>
    <row r="13" spans="1:8" ht="18" x14ac:dyDescent="0.2">
      <c r="A13" s="205" t="s">
        <v>29</v>
      </c>
      <c r="B13" s="206"/>
      <c r="C13" s="206"/>
      <c r="D13" s="206"/>
      <c r="E13" s="206"/>
      <c r="F13" s="206"/>
      <c r="G13" s="206"/>
      <c r="H13" s="207"/>
    </row>
    <row r="14" spans="1:8" x14ac:dyDescent="0.2">
      <c r="A14" s="5"/>
      <c r="B14" s="5"/>
      <c r="C14" s="5"/>
      <c r="D14" s="54"/>
      <c r="E14" s="5"/>
      <c r="F14" s="5"/>
      <c r="G14" s="5"/>
      <c r="H14" s="5"/>
    </row>
    <row r="15" spans="1:8" x14ac:dyDescent="0.2">
      <c r="A15" s="22" t="s">
        <v>887</v>
      </c>
      <c r="B15" s="151"/>
      <c r="C15" s="151"/>
      <c r="D15" s="152"/>
      <c r="E15" s="151"/>
      <c r="F15" s="208" t="s">
        <v>888</v>
      </c>
      <c r="G15" s="208"/>
      <c r="H15" s="209"/>
    </row>
    <row r="16" spans="1:8" x14ac:dyDescent="0.2">
      <c r="A16" s="210" t="s">
        <v>24</v>
      </c>
      <c r="B16" s="210"/>
      <c r="C16" s="210"/>
      <c r="D16" s="210"/>
      <c r="E16" s="210"/>
      <c r="F16" s="210"/>
      <c r="G16" s="210"/>
      <c r="H16" s="210"/>
    </row>
    <row r="17" spans="1:8" x14ac:dyDescent="0.2">
      <c r="A17" s="5"/>
      <c r="B17" s="5"/>
      <c r="C17" s="5"/>
      <c r="D17" s="54"/>
      <c r="E17" s="5"/>
      <c r="F17" s="5"/>
      <c r="G17" s="5"/>
      <c r="H17" s="5"/>
    </row>
    <row r="18" spans="1:8" x14ac:dyDescent="0.2">
      <c r="A18" s="211" t="s">
        <v>889</v>
      </c>
      <c r="B18" s="211"/>
      <c r="C18" s="211"/>
      <c r="D18" s="211"/>
      <c r="E18" s="153"/>
      <c r="F18" s="212" t="s">
        <v>890</v>
      </c>
      <c r="G18" s="212"/>
      <c r="H18" s="212"/>
    </row>
    <row r="19" spans="1:8" x14ac:dyDescent="0.2">
      <c r="A19" s="174" t="s">
        <v>891</v>
      </c>
      <c r="B19" s="213" t="s">
        <v>892</v>
      </c>
      <c r="C19" s="213"/>
      <c r="D19" s="174" t="s">
        <v>4</v>
      </c>
      <c r="E19" s="56"/>
      <c r="F19" s="174" t="s">
        <v>23</v>
      </c>
      <c r="G19" s="174" t="s">
        <v>18</v>
      </c>
      <c r="H19" s="174" t="s">
        <v>893</v>
      </c>
    </row>
    <row r="20" spans="1:8" x14ac:dyDescent="0.2">
      <c r="A20" s="156" t="s">
        <v>894</v>
      </c>
      <c r="B20" s="200" t="s">
        <v>19</v>
      </c>
      <c r="C20" s="200"/>
      <c r="D20" s="157">
        <v>0.04</v>
      </c>
      <c r="E20" s="56"/>
      <c r="F20" s="158">
        <v>0.03</v>
      </c>
      <c r="G20" s="158">
        <v>0.04</v>
      </c>
      <c r="H20" s="158">
        <v>5.5E-2</v>
      </c>
    </row>
    <row r="21" spans="1:8" x14ac:dyDescent="0.2">
      <c r="A21" s="154" t="s">
        <v>895</v>
      </c>
      <c r="B21" s="214" t="s">
        <v>896</v>
      </c>
      <c r="C21" s="214"/>
      <c r="D21" s="155">
        <v>0.01</v>
      </c>
      <c r="E21" s="56"/>
      <c r="F21" s="175">
        <v>8.0000000000000002E-3</v>
      </c>
      <c r="G21" s="175">
        <v>8.0000000000000002E-3</v>
      </c>
      <c r="H21" s="175">
        <v>0.01</v>
      </c>
    </row>
    <row r="22" spans="1:8" x14ac:dyDescent="0.2">
      <c r="A22" s="156" t="s">
        <v>897</v>
      </c>
      <c r="B22" s="200" t="s">
        <v>20</v>
      </c>
      <c r="C22" s="200"/>
      <c r="D22" s="157">
        <v>1.2699999999999999E-2</v>
      </c>
      <c r="E22" s="56"/>
      <c r="F22" s="158">
        <v>9.7000000000000003E-3</v>
      </c>
      <c r="G22" s="158">
        <v>1.2699999999999999E-2</v>
      </c>
      <c r="H22" s="158">
        <v>1.2699999999999999E-2</v>
      </c>
    </row>
    <row r="23" spans="1:8" x14ac:dyDescent="0.2">
      <c r="A23" s="154" t="s">
        <v>898</v>
      </c>
      <c r="B23" s="214" t="s">
        <v>899</v>
      </c>
      <c r="C23" s="214"/>
      <c r="D23" s="155">
        <v>1.23E-2</v>
      </c>
      <c r="E23" s="56"/>
      <c r="F23" s="175">
        <v>5.8999999999999999E-3</v>
      </c>
      <c r="G23" s="175">
        <v>1.23E-2</v>
      </c>
      <c r="H23" s="175">
        <v>1.3899999999999999E-2</v>
      </c>
    </row>
    <row r="24" spans="1:8" x14ac:dyDescent="0.2">
      <c r="A24" s="156" t="s">
        <v>900</v>
      </c>
      <c r="B24" s="200" t="s">
        <v>21</v>
      </c>
      <c r="C24" s="200"/>
      <c r="D24" s="160">
        <v>8.5000000000000006E-2</v>
      </c>
      <c r="E24" s="56"/>
      <c r="F24" s="158">
        <v>6.1600000000000002E-2</v>
      </c>
      <c r="G24" s="158">
        <v>7.3999999999999996E-2</v>
      </c>
      <c r="H24" s="158">
        <v>8.9599999999999999E-2</v>
      </c>
    </row>
    <row r="25" spans="1:8" x14ac:dyDescent="0.2">
      <c r="A25" s="154" t="s">
        <v>901</v>
      </c>
      <c r="B25" s="214" t="s">
        <v>902</v>
      </c>
      <c r="C25" s="214"/>
      <c r="D25" s="159">
        <v>3.6499999999999998E-2</v>
      </c>
      <c r="E25" s="56"/>
      <c r="F25" s="175">
        <v>3.6499999999999998E-2</v>
      </c>
      <c r="G25" s="175">
        <v>3.6499999999999998E-2</v>
      </c>
      <c r="H25" s="175">
        <v>3.6499999999999998E-2</v>
      </c>
    </row>
    <row r="26" spans="1:8" x14ac:dyDescent="0.2">
      <c r="A26" s="156" t="s">
        <v>903</v>
      </c>
      <c r="B26" s="200" t="s">
        <v>904</v>
      </c>
      <c r="C26" s="200"/>
      <c r="D26" s="160">
        <f>H10*H9</f>
        <v>0.02</v>
      </c>
      <c r="E26" s="56"/>
      <c r="F26" s="158">
        <v>0</v>
      </c>
      <c r="G26" s="158">
        <v>2.5000000000000001E-2</v>
      </c>
      <c r="H26" s="158">
        <v>0.05</v>
      </c>
    </row>
    <row r="27" spans="1:8" x14ac:dyDescent="0.2">
      <c r="A27" s="154" t="s">
        <v>905</v>
      </c>
      <c r="B27" s="214" t="s">
        <v>906</v>
      </c>
      <c r="C27" s="214"/>
      <c r="D27" s="159">
        <v>4.4999999999999998E-2</v>
      </c>
      <c r="E27" s="56"/>
      <c r="F27" s="175">
        <v>0</v>
      </c>
      <c r="G27" s="175">
        <v>4.4999999999999998E-2</v>
      </c>
      <c r="H27" s="175">
        <v>4.4999999999999998E-2</v>
      </c>
    </row>
    <row r="28" spans="1:8" x14ac:dyDescent="0.2">
      <c r="A28" s="161" t="s">
        <v>22</v>
      </c>
      <c r="B28" s="162" t="s">
        <v>907</v>
      </c>
      <c r="C28" s="161"/>
      <c r="D28" s="163">
        <f>ROUND((((1+D20+D21+D22)*(1+D23)*(1+D24)/(1-(D25+D26)))-1),4)</f>
        <v>0.23710000000000001</v>
      </c>
      <c r="E28" s="151"/>
      <c r="F28" s="164">
        <v>0.2034</v>
      </c>
      <c r="G28" s="164">
        <v>0.22120000000000001</v>
      </c>
      <c r="H28" s="164">
        <v>0.25</v>
      </c>
    </row>
    <row r="29" spans="1:8" ht="15.75" customHeight="1" x14ac:dyDescent="0.2">
      <c r="A29" s="179" t="s">
        <v>22</v>
      </c>
      <c r="B29" s="184" t="s">
        <v>908</v>
      </c>
      <c r="C29" s="179"/>
      <c r="D29" s="185">
        <f>ROUND((((1+D20+D21+D22)*(1+D23)*(1+D24)/(1-(D25+D26+D27)))-1),4)</f>
        <v>0.29909999999999998</v>
      </c>
      <c r="E29" s="151"/>
      <c r="F29" s="215"/>
      <c r="G29" s="215"/>
      <c r="H29" s="215"/>
    </row>
    <row r="30" spans="1:8" x14ac:dyDescent="0.2">
      <c r="A30" s="165" t="str">
        <f>IF(AND([2]DADOS!D52=FALSE,[2]DADOS!D53=FALSE),"S E L E C I O N E   U M   B D I !",IF(AND([2]DADOS!D52=TRUE,[2]DADOS!D53=FALSE),CONCATENATE("O VALOR DO BDI 1 ADOTADO É: ",D28*100,"%."),IF(AND([2]DADOS!D52=FALSE,[2]DADOS!D53=TRUE),CONCATENATE("O VALOR DO BDI ADOTADO É: ",D29*100,"%."),"S E L E C I O N E   A P E N A S   U M A   O P Ç Ã O   D E   B D I !")))</f>
        <v>O VALOR DO BDI 1 ADOTADO É: 23,71%.</v>
      </c>
      <c r="B30" s="5"/>
      <c r="C30" s="5"/>
      <c r="D30" s="54"/>
      <c r="E30" s="5"/>
      <c r="F30" s="216" t="s">
        <v>888</v>
      </c>
      <c r="G30" s="216"/>
      <c r="H30" s="216"/>
    </row>
    <row r="31" spans="1:8" x14ac:dyDescent="0.2">
      <c r="A31" s="165"/>
      <c r="B31" s="5"/>
      <c r="C31" s="5"/>
      <c r="D31" s="54"/>
      <c r="E31" s="5"/>
      <c r="F31" s="166"/>
      <c r="G31" s="166"/>
      <c r="H31" s="166"/>
    </row>
    <row r="32" spans="1:8" x14ac:dyDescent="0.2">
      <c r="A32" s="217" t="s">
        <v>909</v>
      </c>
      <c r="B32" s="217"/>
      <c r="C32" s="217"/>
      <c r="D32" s="217"/>
      <c r="E32" s="217"/>
      <c r="F32" s="217"/>
      <c r="G32" s="217"/>
      <c r="H32" s="217"/>
    </row>
    <row r="33" spans="1:8" x14ac:dyDescent="0.2">
      <c r="A33" s="5"/>
      <c r="B33" s="5"/>
      <c r="C33" s="5"/>
      <c r="D33" s="54"/>
      <c r="E33" s="5"/>
      <c r="F33" s="5"/>
      <c r="G33" s="5"/>
      <c r="H33" s="5"/>
    </row>
    <row r="34" spans="1:8" x14ac:dyDescent="0.2">
      <c r="A34" s="5"/>
      <c r="B34" s="5"/>
      <c r="C34" s="5"/>
      <c r="D34" s="54"/>
      <c r="E34" s="5"/>
      <c r="F34" s="5"/>
      <c r="G34" s="5"/>
      <c r="H34" s="5"/>
    </row>
    <row r="35" spans="1:8" x14ac:dyDescent="0.2">
      <c r="A35" s="5"/>
      <c r="B35" s="5"/>
      <c r="C35" s="5"/>
      <c r="D35" s="54"/>
      <c r="E35" s="5"/>
      <c r="F35" s="5"/>
      <c r="G35" s="5"/>
      <c r="H35" s="5"/>
    </row>
    <row r="36" spans="1:8" x14ac:dyDescent="0.2">
      <c r="A36" s="5"/>
      <c r="B36" s="5"/>
      <c r="C36" s="5"/>
      <c r="D36" s="54"/>
      <c r="E36" s="5"/>
      <c r="F36" s="5"/>
      <c r="G36" s="5"/>
      <c r="H36" s="5"/>
    </row>
    <row r="38" spans="1:8" ht="18" x14ac:dyDescent="0.2">
      <c r="A38" s="205" t="s">
        <v>30</v>
      </c>
      <c r="B38" s="206"/>
      <c r="C38" s="206"/>
      <c r="D38" s="206"/>
      <c r="E38" s="206"/>
      <c r="F38" s="206"/>
      <c r="G38" s="206"/>
      <c r="H38" s="207"/>
    </row>
    <row r="40" spans="1:8" x14ac:dyDescent="0.2">
      <c r="A40" s="211" t="s">
        <v>889</v>
      </c>
      <c r="B40" s="211"/>
      <c r="C40" s="211"/>
      <c r="D40" s="211"/>
      <c r="F40" s="212" t="s">
        <v>890</v>
      </c>
      <c r="G40" s="212"/>
    </row>
    <row r="41" spans="1:8" x14ac:dyDescent="0.2">
      <c r="A41" s="176" t="s">
        <v>891</v>
      </c>
      <c r="B41" s="220" t="s">
        <v>892</v>
      </c>
      <c r="C41" s="220"/>
      <c r="D41" s="176" t="s">
        <v>4</v>
      </c>
      <c r="E41" s="177"/>
      <c r="F41" s="174"/>
      <c r="G41" s="174"/>
    </row>
    <row r="42" spans="1:8" x14ac:dyDescent="0.2">
      <c r="A42" s="156" t="s">
        <v>910</v>
      </c>
      <c r="B42" s="200" t="s">
        <v>911</v>
      </c>
      <c r="C42" s="200"/>
      <c r="D42" s="157">
        <v>0.10150000000000001</v>
      </c>
      <c r="E42" s="177"/>
      <c r="F42" s="158" t="s">
        <v>105</v>
      </c>
      <c r="G42" s="168">
        <v>45292</v>
      </c>
    </row>
    <row r="43" spans="1:8" x14ac:dyDescent="0.2">
      <c r="A43" s="154" t="s">
        <v>900</v>
      </c>
      <c r="B43" s="214" t="s">
        <v>21</v>
      </c>
      <c r="C43" s="214"/>
      <c r="D43" s="155">
        <v>8.7800000000000003E-2</v>
      </c>
      <c r="E43" s="177"/>
      <c r="F43" s="175" t="s">
        <v>105</v>
      </c>
      <c r="G43" s="178">
        <v>45292</v>
      </c>
    </row>
    <row r="44" spans="1:8" x14ac:dyDescent="0.2">
      <c r="A44" s="180" t="s">
        <v>912</v>
      </c>
      <c r="B44" s="221" t="s">
        <v>913</v>
      </c>
      <c r="C44" s="221"/>
      <c r="D44" s="181">
        <v>6.6199999999999995E-2</v>
      </c>
      <c r="E44" s="177"/>
      <c r="F44" s="182" t="s">
        <v>105</v>
      </c>
      <c r="G44" s="183">
        <v>45292</v>
      </c>
    </row>
    <row r="45" spans="1:8" x14ac:dyDescent="0.2">
      <c r="A45" s="170" t="s">
        <v>914</v>
      </c>
      <c r="B45" s="222" t="s">
        <v>915</v>
      </c>
      <c r="C45" s="222"/>
      <c r="D45" s="171">
        <f>(1+D42)*(1+D43)/(1-D44)-1</f>
        <v>0.28315667166416802</v>
      </c>
    </row>
    <row r="46" spans="1:8" x14ac:dyDescent="0.2">
      <c r="A46" s="169"/>
      <c r="B46" s="223"/>
      <c r="C46" s="223"/>
      <c r="D46" s="172"/>
    </row>
    <row r="47" spans="1:8" x14ac:dyDescent="0.2">
      <c r="A47" s="154"/>
      <c r="B47" s="218" t="s">
        <v>917</v>
      </c>
      <c r="C47" s="218"/>
      <c r="D47" s="173">
        <v>0.28000000000000003</v>
      </c>
    </row>
    <row r="48" spans="1:8" x14ac:dyDescent="0.2">
      <c r="A48" s="154"/>
      <c r="B48" s="214"/>
      <c r="C48" s="214"/>
      <c r="D48" s="159"/>
    </row>
    <row r="49" spans="1:8" x14ac:dyDescent="0.2">
      <c r="A49" s="217" t="s">
        <v>909</v>
      </c>
      <c r="B49" s="217"/>
      <c r="C49" s="217"/>
      <c r="D49" s="217"/>
      <c r="E49" s="217"/>
      <c r="F49" s="217"/>
      <c r="G49" s="217"/>
      <c r="H49" s="217"/>
    </row>
    <row r="50" spans="1:8" x14ac:dyDescent="0.2">
      <c r="A50" s="5"/>
      <c r="B50" s="5"/>
      <c r="C50" s="5"/>
      <c r="D50" s="54"/>
      <c r="E50" s="5"/>
      <c r="F50" s="5"/>
      <c r="G50" s="5"/>
      <c r="H50" s="5"/>
    </row>
    <row r="51" spans="1:8" x14ac:dyDescent="0.2">
      <c r="A51" s="5"/>
      <c r="B51" s="5"/>
      <c r="C51" s="5"/>
      <c r="D51" s="54"/>
      <c r="E51" s="5"/>
      <c r="F51" s="5"/>
      <c r="G51" s="5"/>
      <c r="H51" s="5"/>
    </row>
    <row r="52" spans="1:8" x14ac:dyDescent="0.2">
      <c r="A52" s="5"/>
      <c r="B52" s="5"/>
      <c r="C52" s="5"/>
      <c r="D52" s="54"/>
      <c r="E52" s="5"/>
      <c r="F52" s="5"/>
      <c r="G52" s="5"/>
      <c r="H52" s="5"/>
    </row>
    <row r="53" spans="1:8" x14ac:dyDescent="0.2">
      <c r="A53" s="5" t="s">
        <v>916</v>
      </c>
      <c r="B53" s="5"/>
      <c r="C53" s="5"/>
      <c r="D53" s="54"/>
      <c r="E53" s="5"/>
      <c r="F53" s="5"/>
      <c r="G53" s="5"/>
      <c r="H53" s="5"/>
    </row>
    <row r="54" spans="1:8" x14ac:dyDescent="0.2">
      <c r="A54" s="5"/>
      <c r="B54" s="5"/>
      <c r="C54" s="5"/>
      <c r="D54" s="54"/>
      <c r="E54" s="5"/>
      <c r="F54" s="5"/>
      <c r="G54" s="5"/>
      <c r="H54" s="5"/>
    </row>
    <row r="55" spans="1:8" x14ac:dyDescent="0.2">
      <c r="A55" s="5"/>
      <c r="B55" s="5"/>
      <c r="C55" s="5"/>
      <c r="D55" s="54"/>
      <c r="E55" s="5"/>
      <c r="F55" s="5"/>
      <c r="G55" s="5"/>
      <c r="H55" s="5"/>
    </row>
    <row r="56" spans="1:8" x14ac:dyDescent="0.2">
      <c r="A56" s="219" t="str">
        <f>'ITEM 2 - Orçamento'!A417:K417</f>
        <v>LOCAL, __ de maio de 2024.</v>
      </c>
      <c r="B56" s="219"/>
      <c r="C56" s="219"/>
      <c r="D56" s="219"/>
      <c r="E56" s="219"/>
      <c r="F56" s="219"/>
      <c r="G56" s="219"/>
      <c r="H56" s="219"/>
    </row>
    <row r="57" spans="1:8" x14ac:dyDescent="0.2">
      <c r="A57" s="5"/>
      <c r="B57" s="5"/>
      <c r="C57" s="5"/>
      <c r="D57" s="54"/>
      <c r="E57" s="5"/>
      <c r="F57" s="5"/>
      <c r="G57" s="5"/>
      <c r="H57" s="5"/>
    </row>
    <row r="58" spans="1:8" x14ac:dyDescent="0.2">
      <c r="A58" s="5"/>
      <c r="B58" s="5"/>
      <c r="C58" s="5"/>
      <c r="D58" s="54"/>
      <c r="E58" s="5"/>
      <c r="F58" s="5"/>
      <c r="G58" s="5"/>
      <c r="H58" s="5"/>
    </row>
    <row r="59" spans="1:8" x14ac:dyDescent="0.2">
      <c r="A59" s="5"/>
      <c r="B59" s="5"/>
      <c r="C59" s="5"/>
      <c r="D59" s="54"/>
      <c r="E59" s="5"/>
      <c r="F59" s="5"/>
      <c r="G59" s="5"/>
      <c r="H59" s="5"/>
    </row>
    <row r="60" spans="1:8" x14ac:dyDescent="0.2">
      <c r="A60" s="5"/>
      <c r="B60" s="5"/>
      <c r="C60" s="5"/>
      <c r="D60" s="54"/>
      <c r="E60" s="5"/>
      <c r="F60" s="5"/>
      <c r="G60" s="5"/>
      <c r="H60" s="5"/>
    </row>
    <row r="61" spans="1:8" x14ac:dyDescent="0.2">
      <c r="A61" s="5"/>
      <c r="B61" s="5"/>
      <c r="C61" s="5"/>
      <c r="D61" s="54"/>
      <c r="E61" s="5"/>
      <c r="F61" s="5"/>
      <c r="G61" s="5"/>
      <c r="H61" s="5"/>
    </row>
    <row r="93" spans="4:4" x14ac:dyDescent="0.2">
      <c r="D93" s="1"/>
    </row>
    <row r="94" spans="4:4" x14ac:dyDescent="0.2">
      <c r="D94" s="1"/>
    </row>
    <row r="95" spans="4:4" x14ac:dyDescent="0.2">
      <c r="D95" s="1"/>
    </row>
  </sheetData>
  <mergeCells count="35">
    <mergeCell ref="B48:C48"/>
    <mergeCell ref="A49:H49"/>
    <mergeCell ref="A56:H56"/>
    <mergeCell ref="B41:C41"/>
    <mergeCell ref="B42:C42"/>
    <mergeCell ref="B43:C43"/>
    <mergeCell ref="B44:C44"/>
    <mergeCell ref="B45:C45"/>
    <mergeCell ref="B46:C46"/>
    <mergeCell ref="A32:H32"/>
    <mergeCell ref="A38:H38"/>
    <mergeCell ref="A40:D40"/>
    <mergeCell ref="F40:G40"/>
    <mergeCell ref="B47:C47"/>
    <mergeCell ref="B27:C27"/>
    <mergeCell ref="F29:H29"/>
    <mergeCell ref="F30:H30"/>
    <mergeCell ref="B21:C21"/>
    <mergeCell ref="B22:C22"/>
    <mergeCell ref="B23:C23"/>
    <mergeCell ref="B24:C24"/>
    <mergeCell ref="B25:C25"/>
    <mergeCell ref="B26:C26"/>
    <mergeCell ref="B20:C20"/>
    <mergeCell ref="B1:H1"/>
    <mergeCell ref="A4:H4"/>
    <mergeCell ref="A7:F7"/>
    <mergeCell ref="A9:G9"/>
    <mergeCell ref="A10:G10"/>
    <mergeCell ref="A13:H13"/>
    <mergeCell ref="F15:H15"/>
    <mergeCell ref="A16:H16"/>
    <mergeCell ref="A18:D18"/>
    <mergeCell ref="F18:H18"/>
    <mergeCell ref="B19:C19"/>
  </mergeCells>
  <conditionalFormatting sqref="D20:D27">
    <cfRule type="cellIs" dxfId="2" priority="3" operator="notBetween">
      <formula>$F20</formula>
      <formula>$H20</formula>
    </cfRule>
  </conditionalFormatting>
  <conditionalFormatting sqref="D28">
    <cfRule type="cellIs" dxfId="1" priority="4" operator="notBetween">
      <formula>$F$28</formula>
      <formula>$H28</formula>
    </cfRule>
  </conditionalFormatting>
  <conditionalFormatting sqref="A30:D31">
    <cfRule type="expression" dxfId="0" priority="5">
      <formula>OR($A$30="S E L E C I O N E   U M   B D I !",$A$30="S E L E C I O N E   A P E N A S   U M A   O P Ç Ã O   D E   B D I !")</formula>
    </cfRule>
  </conditionalFormatting>
  <printOptions horizontalCentered="1"/>
  <pageMargins left="0.78740157480314965" right="0.78740157480314965" top="0.78740157480314965" bottom="0.39370078740157483" header="0.31496062992125984" footer="0.31496062992125984"/>
  <pageSetup paperSize="9" scale="77" fitToHeight="0" orientation="portrait" r:id="rId1"/>
  <headerFooter>
    <oddFooter>Página &amp;P de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 macro="[2]!Clique1_BDI">
                <anchor moveWithCells="1">
                  <from>
                    <xdr:col>0</xdr:col>
                    <xdr:colOff>47625</xdr:colOff>
                    <xdr:row>27</xdr:row>
                    <xdr:rowOff>0</xdr:rowOff>
                  </from>
                  <to>
                    <xdr:col>0</xdr:col>
                    <xdr:colOff>314325</xdr:colOff>
                    <xdr:row>28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0</xdr:col>
                    <xdr:colOff>47625</xdr:colOff>
                    <xdr:row>27</xdr:row>
                    <xdr:rowOff>180975</xdr:rowOff>
                  </from>
                  <to>
                    <xdr:col>0</xdr:col>
                    <xdr:colOff>314325</xdr:colOff>
                    <xdr:row>29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ITEM 2 - Orçamento</vt:lpstr>
      <vt:lpstr>ITEM 2 - BDI</vt:lpstr>
      <vt:lpstr>'ITEM 2 - BDI'!Area_de_impressao</vt:lpstr>
      <vt:lpstr>'ITEM 2 - Orçamento'!Area_de_impressao</vt:lpstr>
      <vt:lpstr>PO</vt:lpstr>
      <vt:lpstr>'ITEM 2 - Orçamento'!Titulos_de_impressao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gpp002</cp:lastModifiedBy>
  <cp:revision>4</cp:revision>
  <cp:lastPrinted>2024-05-06T11:47:29Z</cp:lastPrinted>
  <dcterms:created xsi:type="dcterms:W3CDTF">2009-09-26T22:55:12Z</dcterms:created>
  <dcterms:modified xsi:type="dcterms:W3CDTF">2024-05-06T13:11:18Z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