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/>
  <mc:AlternateContent xmlns:mc="http://schemas.openxmlformats.org/markup-compatibility/2006">
    <mc:Choice Requires="x15">
      <x15ac:absPath xmlns:x15ac="http://schemas.microsoft.com/office/spreadsheetml/2010/11/ac" url="C:\Users\gpp002\OneDrive\PROJETOS\031.2023 - Filtro 02 ETA VP\Anexo Licitação (enviados 17.06.24)\"/>
    </mc:Choice>
  </mc:AlternateContent>
  <bookViews>
    <workbookView xWindow="0" yWindow="0" windowWidth="16200" windowHeight="7755" tabRatio="490"/>
  </bookViews>
  <sheets>
    <sheet name="ORÇAMENTO" sheetId="1" r:id="rId1"/>
    <sheet name="CRONOGRAMA" sheetId="2" r:id="rId2"/>
    <sheet name="BDI" sheetId="14" r:id="rId3"/>
  </sheets>
  <externalReferences>
    <externalReference r:id="rId4"/>
  </externalReferences>
  <definedNames>
    <definedName name="AC">#REF!</definedName>
    <definedName name="_xlnm.Print_Area" localSheetId="2">BDI!$A$1:$H$82</definedName>
    <definedName name="_xlnm.Print_Area" localSheetId="1">CRONOGRAMA!$A$1:$H$53</definedName>
    <definedName name="_xlnm.Print_Area" localSheetId="0">ORÇAMENTO!$A$1:$K$66</definedName>
    <definedName name="BDI.Opcao" hidden="1">[1]DADOS!$F$18</definedName>
    <definedName name="BDI.TipoObra" hidden="1">[1]BDI!$A$138:$A$146</definedName>
    <definedName name="COMPOSIÇÕES">#REF!</definedName>
    <definedName name="COTAÇÕES">#REF!</definedName>
    <definedName name="DESONERACAO" hidden="1">IF(OR(Import.Desoneracao="DESONERADO",Import.Desoneracao="SIM"),"SIM","NÃO")</definedName>
    <definedName name="DF">#REF!</definedName>
    <definedName name="HTML_CodePage">437</definedName>
    <definedName name="HTML_Control">{"'Armação'!$A$1:$A$2"}</definedName>
    <definedName name="HTML_Description">""</definedName>
    <definedName name="HTML_Email">""</definedName>
    <definedName name="HTML_Header">"Armação"</definedName>
    <definedName name="HTML_LastUpdate">"21/03/98"</definedName>
    <definedName name="HTML_LineAfter">0</definedName>
    <definedName name="HTML_LineBefore">0</definedName>
    <definedName name="HTML_Name">"Gustavo"</definedName>
    <definedName name="HTML_OBDlg2">1</definedName>
    <definedName name="HTML_OBDlg4">1</definedName>
    <definedName name="HTML_OS">0</definedName>
    <definedName name="HTML_PathFile">"C:\Meus Documentos\MeuHTML.htm"</definedName>
    <definedName name="HTML_Title">"Modêlo Tabela de Armação"</definedName>
    <definedName name="Import.Desoneracao" hidden="1">OFFSET([1]DADOS!$G$18,0,-1)</definedName>
    <definedName name="LUCRO">#REF!</definedName>
    <definedName name="PO">ORÇAMENTO!$A$10:$K$61</definedName>
    <definedName name="RISCO">#REF!</definedName>
    <definedName name="SG">#REF!</definedName>
    <definedName name="TIP_OBRA">#REF!</definedName>
    <definedName name="_xlnm.Print_Titles" localSheetId="2">BDI!$1:$1</definedName>
    <definedName name="_xlnm.Print_Titles" localSheetId="0">ORÇAMENTO!$1:$9</definedName>
    <definedName name="VALOR_BDI">#REF!</definedName>
  </definedNames>
  <calcPr calcId="15251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22" i="2" l="1"/>
  <c r="C21" i="2"/>
  <c r="B21" i="2"/>
  <c r="D50" i="1"/>
  <c r="F21" i="2" l="1"/>
  <c r="D23" i="1" l="1"/>
  <c r="D12" i="1"/>
  <c r="H7" i="1" l="1"/>
  <c r="G7" i="1"/>
  <c r="F7" i="1"/>
  <c r="I42" i="1" l="1"/>
  <c r="J42" i="1" s="1"/>
  <c r="I38" i="1"/>
  <c r="J38" i="1" s="1"/>
  <c r="I27" i="1"/>
  <c r="J27" i="1" s="1"/>
  <c r="I45" i="1"/>
  <c r="J45" i="1" s="1"/>
  <c r="I40" i="1"/>
  <c r="J40" i="1" s="1"/>
  <c r="I41" i="1"/>
  <c r="J41" i="1" s="1"/>
  <c r="I43" i="1"/>
  <c r="J43" i="1" s="1"/>
  <c r="I53" i="1"/>
  <c r="J53" i="1" s="1"/>
  <c r="I44" i="1"/>
  <c r="J44" i="1" s="1"/>
  <c r="I36" i="1"/>
  <c r="J36" i="1" s="1"/>
  <c r="I49" i="1"/>
  <c r="J49" i="1" s="1"/>
  <c r="I22" i="1"/>
  <c r="J22" i="1" s="1"/>
  <c r="I50" i="1"/>
  <c r="J50" i="1" s="1"/>
  <c r="I34" i="1"/>
  <c r="J34" i="1" s="1"/>
  <c r="I29" i="1"/>
  <c r="J29" i="1" s="1"/>
  <c r="I31" i="1"/>
  <c r="J31" i="1" s="1"/>
  <c r="I32" i="1"/>
  <c r="J32" i="1" s="1"/>
  <c r="I30" i="1"/>
  <c r="J30" i="1" s="1"/>
  <c r="I23" i="1"/>
  <c r="I13" i="1"/>
  <c r="J13" i="1" s="1"/>
  <c r="J26" i="2" l="1"/>
  <c r="J24" i="2"/>
  <c r="C25" i="2"/>
  <c r="B25" i="2"/>
  <c r="C23" i="2"/>
  <c r="B23" i="2"/>
  <c r="D24" i="1"/>
  <c r="J23" i="1" l="1"/>
  <c r="E25" i="2"/>
  <c r="A81" i="14" l="1"/>
  <c r="D70" i="14"/>
  <c r="A58" i="14"/>
  <c r="A50" i="14"/>
  <c r="A30" i="14"/>
  <c r="D28" i="14"/>
  <c r="D26" i="14"/>
  <c r="D29" i="14" s="1"/>
  <c r="H7" i="14"/>
  <c r="G7" i="14"/>
  <c r="A7" i="14"/>
  <c r="A4" i="14"/>
  <c r="I57" i="1" l="1"/>
  <c r="D17" i="1" l="1"/>
  <c r="D16" i="1"/>
  <c r="J20" i="2"/>
  <c r="C19" i="2"/>
  <c r="B19" i="2"/>
  <c r="D11" i="2" l="1"/>
  <c r="E11" i="2"/>
  <c r="F11" i="2"/>
  <c r="E15" i="2"/>
  <c r="F15" i="2"/>
  <c r="F17" i="2"/>
  <c r="B17" i="2" l="1"/>
  <c r="J57" i="1" l="1"/>
  <c r="H7" i="2" l="1"/>
  <c r="G7" i="2"/>
  <c r="A4" i="2"/>
  <c r="I59" i="1" l="1"/>
  <c r="J59" i="1" s="1"/>
  <c r="D25" i="2"/>
  <c r="I21" i="1"/>
  <c r="J21" i="1" s="1"/>
  <c r="I16" i="1"/>
  <c r="J16" i="1" s="1"/>
  <c r="I17" i="1"/>
  <c r="J17" i="1" s="1"/>
  <c r="I20" i="1"/>
  <c r="J20" i="1" s="1"/>
  <c r="I15" i="1"/>
  <c r="J15" i="1" s="1"/>
  <c r="I48" i="1"/>
  <c r="J48" i="1" s="1"/>
  <c r="J47" i="1" s="1"/>
  <c r="I46" i="1"/>
  <c r="J46" i="1" s="1"/>
  <c r="I37" i="1"/>
  <c r="J37" i="1" s="1"/>
  <c r="I39" i="1"/>
  <c r="J39" i="1" s="1"/>
  <c r="I24" i="1"/>
  <c r="J24" i="1" s="1"/>
  <c r="I35" i="1"/>
  <c r="I26" i="1"/>
  <c r="J26" i="1" s="1"/>
  <c r="I28" i="1"/>
  <c r="J28" i="1" s="1"/>
  <c r="I19" i="1"/>
  <c r="J19" i="1" s="1"/>
  <c r="I56" i="1"/>
  <c r="J56" i="1" s="1"/>
  <c r="I12" i="1"/>
  <c r="J12" i="1" s="1"/>
  <c r="I55" i="1"/>
  <c r="J55" i="1" s="1"/>
  <c r="I52" i="1"/>
  <c r="J52" i="1" s="1"/>
  <c r="J51" i="1" s="1"/>
  <c r="I11" i="1"/>
  <c r="J11" i="1" s="1"/>
  <c r="I33" i="1"/>
  <c r="J54" i="1" l="1"/>
  <c r="J10" i="1"/>
  <c r="J58" i="1"/>
  <c r="G25" i="2" s="1"/>
  <c r="F25" i="2" s="1"/>
  <c r="J14" i="1"/>
  <c r="G19" i="2"/>
  <c r="D19" i="2" s="1"/>
  <c r="J18" i="1"/>
  <c r="G23" i="2" l="1"/>
  <c r="F23" i="2" s="1"/>
  <c r="G21" i="2"/>
  <c r="D23" i="2"/>
  <c r="E23" i="2"/>
  <c r="E19" i="2"/>
  <c r="F19" i="2"/>
  <c r="G15" i="2"/>
  <c r="D15" i="2" s="1"/>
  <c r="E21" i="2" l="1"/>
  <c r="D21" i="2"/>
  <c r="G13" i="2"/>
  <c r="F13" i="2" s="1"/>
  <c r="F28" i="2" s="1"/>
  <c r="J14" i="2"/>
  <c r="J16" i="2"/>
  <c r="J18" i="2"/>
  <c r="J12" i="2"/>
  <c r="A33" i="2"/>
  <c r="D13" i="2" l="1"/>
  <c r="E13" i="2"/>
  <c r="C13" i="2"/>
  <c r="G11" i="2" l="1"/>
  <c r="C11" i="2" l="1"/>
  <c r="C15" i="2" l="1"/>
  <c r="B15" i="2" l="1"/>
  <c r="B13" i="2" l="1"/>
  <c r="B11" i="2"/>
  <c r="J35" i="1"/>
  <c r="J33" i="1"/>
  <c r="J25" i="1" l="1"/>
  <c r="J62" i="1" s="1"/>
  <c r="K54" i="1" s="1"/>
  <c r="G17" i="2" l="1"/>
  <c r="C17" i="2" s="1"/>
  <c r="C28" i="2" s="1"/>
  <c r="K51" i="1"/>
  <c r="K10" i="1"/>
  <c r="H11" i="2" s="1"/>
  <c r="K14" i="1"/>
  <c r="H13" i="2" s="1"/>
  <c r="K58" i="1"/>
  <c r="H25" i="2" s="1"/>
  <c r="K18" i="1"/>
  <c r="H15" i="2" s="1"/>
  <c r="K62" i="1"/>
  <c r="K47" i="1"/>
  <c r="H19" i="2" s="1"/>
  <c r="K25" i="1"/>
  <c r="H17" i="2" s="1"/>
  <c r="E17" i="2" l="1"/>
  <c r="E28" i="2" s="1"/>
  <c r="D17" i="2"/>
  <c r="D28" i="2" s="1"/>
  <c r="G28" i="2"/>
  <c r="F29" i="2" s="1"/>
  <c r="H23" i="2"/>
  <c r="H21" i="2"/>
  <c r="C30" i="2"/>
  <c r="D29" i="2" l="1"/>
  <c r="E29" i="2"/>
  <c r="C29" i="2"/>
  <c r="H28" i="2"/>
  <c r="C31" i="2"/>
  <c r="D30" i="2"/>
  <c r="D31" i="2" l="1"/>
  <c r="E30" i="2"/>
  <c r="E31" i="2" l="1"/>
  <c r="F30" i="2"/>
  <c r="F31" i="2" s="1"/>
</calcChain>
</file>

<file path=xl/comments1.xml><?xml version="1.0" encoding="utf-8"?>
<comments xmlns="http://schemas.openxmlformats.org/spreadsheetml/2006/main">
  <authors>
    <author>gpp002</author>
  </authors>
  <commentList>
    <comment ref="H10" authorId="0" shapeId="0">
      <text>
        <r>
          <rPr>
            <b/>
            <sz val="9"/>
            <color indexed="81"/>
            <rFont val="Segoe UI"/>
            <family val="2"/>
          </rPr>
          <t>Entre 2% a 5%.</t>
        </r>
      </text>
    </comment>
  </commentList>
</comments>
</file>

<file path=xl/sharedStrings.xml><?xml version="1.0" encoding="utf-8"?>
<sst xmlns="http://schemas.openxmlformats.org/spreadsheetml/2006/main" count="405" uniqueCount="222">
  <si>
    <t>Item</t>
  </si>
  <si>
    <t>Descrição</t>
  </si>
  <si>
    <t>Qtdd.</t>
  </si>
  <si>
    <t>%</t>
  </si>
  <si>
    <t>SINAPI</t>
  </si>
  <si>
    <t>UN</t>
  </si>
  <si>
    <t>CPOS</t>
  </si>
  <si>
    <t>Meses</t>
  </si>
  <si>
    <t>Mês 01</t>
  </si>
  <si>
    <t>Mês 02</t>
  </si>
  <si>
    <t>Mês 03</t>
  </si>
  <si>
    <t>1.</t>
  </si>
  <si>
    <t>Custo Unitário
S/ BDI
(R$)</t>
  </si>
  <si>
    <t>Preço Unitário
C/ BDI
(R$)</t>
  </si>
  <si>
    <t>Total 
(C/ BDI)</t>
  </si>
  <si>
    <t>M2</t>
  </si>
  <si>
    <t>KG</t>
  </si>
  <si>
    <t>2.</t>
  </si>
  <si>
    <t>3.</t>
  </si>
  <si>
    <t>M</t>
  </si>
  <si>
    <t>M3</t>
  </si>
  <si>
    <t>Preço Total
C/ BDI 
(R$)</t>
  </si>
  <si>
    <t>SABESP</t>
  </si>
  <si>
    <t xml:space="preserve"> </t>
  </si>
  <si>
    <t>Médio</t>
  </si>
  <si>
    <t>AC</t>
  </si>
  <si>
    <t>ADMINISTRAÇÃO CENTRAL</t>
  </si>
  <si>
    <t>DF</t>
  </si>
  <si>
    <t>DESPESAS FINANCEIRAS</t>
  </si>
  <si>
    <t>R</t>
  </si>
  <si>
    <t>RISCO</t>
  </si>
  <si>
    <t>L</t>
  </si>
  <si>
    <t>LUCRO</t>
  </si>
  <si>
    <t>CP</t>
  </si>
  <si>
    <t>ISS</t>
  </si>
  <si>
    <t>CPRB</t>
  </si>
  <si>
    <t>Os valores de BDI foram calculados com o emprego da fórmula:</t>
  </si>
  <si>
    <t>3º Quartil</t>
  </si>
  <si>
    <t>SG</t>
  </si>
  <si>
    <t>BDI</t>
  </si>
  <si>
    <t>SIGLAS</t>
  </si>
  <si>
    <t>DESCRIÇÃO</t>
  </si>
  <si>
    <t>1° Quartil</t>
  </si>
  <si>
    <t>SEGURO E GARANTIA</t>
  </si>
  <si>
    <t>TRIBUTOS (COFINS 3% E PIS 0,65%)</t>
  </si>
  <si>
    <t>TRIBUTOS (CP SOBRE RB - DESONER.)</t>
  </si>
  <si>
    <t>CONSTRUÇÃO DE EDIFÍCIOS</t>
  </si>
  <si>
    <t>BDI PARA ITENS DE MERO FORNECIMENTO DE MATERIAIS E EQUIPAMENTOS</t>
  </si>
  <si>
    <t>AV. TETRACAMPEONATO, S/N°, CIDADE ARACY, SÃO CARLOS, SP</t>
  </si>
  <si>
    <t>02.08.050</t>
  </si>
  <si>
    <t>PLACA DE IDENTIFICAÇÃO PARA OBRA EM LONA COM IMPRESSÃO DIGITAL E ESTRUTURA EM MADEIRA</t>
  </si>
  <si>
    <t>11.16.080</t>
  </si>
  <si>
    <t xml:space="preserve">UN </t>
  </si>
  <si>
    <t>TRIBUTOS (ISSQN)</t>
  </si>
  <si>
    <t>SEM DESONERAÇÃO (Fórmula Acórdão TCU)</t>
  </si>
  <si>
    <t>COM DESONERAÇÃO</t>
  </si>
  <si>
    <t>Referência</t>
  </si>
  <si>
    <t>Demonstrativo</t>
  </si>
  <si>
    <t>Conforme Acordão Nº 2622/2013 - TCU.</t>
  </si>
  <si>
    <t>OBRA:</t>
  </si>
  <si>
    <t>FONTE:</t>
  </si>
  <si>
    <t>LOCAL:</t>
  </si>
  <si>
    <t>BDI 1</t>
  </si>
  <si>
    <t>BDI 2</t>
  </si>
  <si>
    <t>Fator K</t>
  </si>
  <si>
    <t>REVISÃO:</t>
  </si>
  <si>
    <t>DATA BASE:</t>
  </si>
  <si>
    <t>BDI 3</t>
  </si>
  <si>
    <t>-</t>
  </si>
  <si>
    <t>TIPO DE OBRA:</t>
  </si>
  <si>
    <t>Percentual da base de cálculo para o ISS, conforme legislação tributária municipal:</t>
  </si>
  <si>
    <t>Alíquota do ISS:</t>
  </si>
  <si>
    <t>Declaramos para os devidos fins que o regime de Contribuição Previdênciária sobre a Receita Bruta adotado para elaboração do orçamento foi SEM DESONERAÇÃO, e que está é a alternativa mais adequada para a Administração Pública.</t>
  </si>
  <si>
    <t>S U B T O T A L (com BDI)</t>
  </si>
  <si>
    <t>T O T A L   A C U M U L A D O (com BDI)</t>
  </si>
  <si>
    <t>Obs.: Todos os valores foram truncados a partir da segunda casa decimal.</t>
  </si>
  <si>
    <t>I</t>
  </si>
  <si>
    <t>C001</t>
  </si>
  <si>
    <t>DI</t>
  </si>
  <si>
    <t>IMPOSTOS E TRIBUTOS</t>
  </si>
  <si>
    <t>LDI</t>
  </si>
  <si>
    <t>LUCRATIVIDADE E DESPESAS INDIRETAS</t>
  </si>
  <si>
    <t>DESPESAS INDIRETAS</t>
  </si>
  <si>
    <t>CONCRETO ESTRUTURAL P/ ESTRUTURAS EM CONTATO COM ESGOTO, GASES AGRESSIVOS, AMBIENTE MARÍTIMO E ESTRUTURAS PARA TRATAMENTO DE ÁGUA, FCK = 40,0 MPA, A/C MÁX. 0,45 L/KG - MÍN. DE 360 KG DE CIMENTO/M³</t>
  </si>
  <si>
    <t>COTADO</t>
  </si>
  <si>
    <t>MÊS</t>
  </si>
  <si>
    <r>
      <rPr>
        <b/>
        <sz val="18"/>
        <rFont val="Cambria"/>
        <family val="1"/>
      </rPr>
      <t xml:space="preserve">PLANILHA ORÇAMENTÁRIA
</t>
    </r>
    <r>
      <rPr>
        <sz val="11"/>
        <rFont val="Arial"/>
        <family val="2"/>
      </rPr>
      <t xml:space="preserve">Orçamento Base para Licitação
</t>
    </r>
  </si>
  <si>
    <r>
      <t xml:space="preserve">CRONOGRAMA FÍSICO-FINANCEIRO
</t>
    </r>
    <r>
      <rPr>
        <sz val="11"/>
        <rFont val="Arial"/>
        <family val="2"/>
      </rPr>
      <t xml:space="preserve">Evolução Física-Financeira da Obra e Cronograma Previsto de Desembolso
</t>
    </r>
  </si>
  <si>
    <r>
      <rPr>
        <b/>
        <sz val="18"/>
        <rFont val="Cambria"/>
        <family val="1"/>
      </rPr>
      <t xml:space="preserve">DEMONSTRATIVO DO BDI
</t>
    </r>
    <r>
      <rPr>
        <sz val="11"/>
        <rFont val="Arial"/>
        <family val="2"/>
      </rPr>
      <t xml:space="preserve">em conformidade com Acordão N° 2622/2013 - TCU
</t>
    </r>
  </si>
  <si>
    <t>RUA DR. CARLOS BOTELHO, N° 1201, VILA PUREZA, SÃO CARLOS, SP</t>
  </si>
  <si>
    <t>SERVIÇOS PRELIMINARES</t>
  </si>
  <si>
    <t>1.1</t>
  </si>
  <si>
    <t>3.3</t>
  </si>
  <si>
    <t>2.2</t>
  </si>
  <si>
    <t>1.2</t>
  </si>
  <si>
    <t>1.3</t>
  </si>
  <si>
    <t>01.23.100</t>
  </si>
  <si>
    <t>3.1</t>
  </si>
  <si>
    <t>3.2</t>
  </si>
  <si>
    <t>2.1</t>
  </si>
  <si>
    <t>09.02.040</t>
  </si>
  <si>
    <t>2.3</t>
  </si>
  <si>
    <t>24.20.090</t>
  </si>
  <si>
    <t>DEMOLIÇÕES E RETIRADAS</t>
  </si>
  <si>
    <t>4.</t>
  </si>
  <si>
    <t>ESTRUTURA DE CONCRETO ARMADO</t>
  </si>
  <si>
    <t>4.1</t>
  </si>
  <si>
    <t>4.2</t>
  </si>
  <si>
    <t xml:space="preserve">17.01.120 </t>
  </si>
  <si>
    <t>O VALOR DO BDI 3 ADOTADO (conforme SABESP):</t>
  </si>
  <si>
    <t>5.</t>
  </si>
  <si>
    <t>5.1</t>
  </si>
  <si>
    <t>IMPERMEABILIZAÇÃO</t>
  </si>
  <si>
    <t>32.17.040</t>
  </si>
  <si>
    <t>Mês 04</t>
  </si>
  <si>
    <r>
      <t xml:space="preserve">APLICAÇÃO DE ARGAMASSA DE CIMENTO E AREIA TRAÇO 1:3, COM ADESIVO ACRÍLICO </t>
    </r>
    <r>
      <rPr>
        <b/>
        <sz val="10"/>
        <rFont val="Cambria"/>
        <family val="1"/>
      </rPr>
      <t>(ENCHIMENTO PARA GARANTIR DECLIVIDADE - CANAL)</t>
    </r>
  </si>
  <si>
    <t>4.3</t>
  </si>
  <si>
    <t>4.4</t>
  </si>
  <si>
    <t>4.5</t>
  </si>
  <si>
    <t>4.6</t>
  </si>
  <si>
    <t>4.7</t>
  </si>
  <si>
    <t>6.</t>
  </si>
  <si>
    <t>6.1</t>
  </si>
  <si>
    <t>6.2</t>
  </si>
  <si>
    <t>02.05.212</t>
  </si>
  <si>
    <t>M2MÊS</t>
  </si>
  <si>
    <t>SOLDA MIG EVENTUAL DAS ARMADURAS</t>
  </si>
  <si>
    <t>02.05.090</t>
  </si>
  <si>
    <t>TRANSPORTE VERTICAL E PLATAFORMA DE TRABALHO</t>
  </si>
  <si>
    <t>CREPINA DN 1", COM CALDA DE 0,50M DE COMPRIMENTO, MATERIAL: POLIPROPILENO (DEVE POSSIBILITAR RETROLAVAGEM POR “ÁGUA” OU “AR E ÁGUA”) - VIDE ESPECIFICAÇÕES NO MEMORIAL DESCRITIVO</t>
  </si>
  <si>
    <t>3.4</t>
  </si>
  <si>
    <t>05.07.040</t>
  </si>
  <si>
    <r>
      <t xml:space="preserve">DEMOLIÇÃO DE ARGAMASSAS, DE FORMA MANUAL, SEM REAPROVEITAMENTO. AF_12/2017 </t>
    </r>
    <r>
      <rPr>
        <b/>
        <sz val="10"/>
        <rFont val="Cambria"/>
        <family val="1"/>
      </rPr>
      <t>(REVESTIMENTO DE PAREDES E FUNDO EXISTENTES)</t>
    </r>
  </si>
  <si>
    <t>COLOCAÇÃO DE AREIA NOS FILTROS</t>
  </si>
  <si>
    <t>7.</t>
  </si>
  <si>
    <t>SERVIÇOS COMPLEMENTARES</t>
  </si>
  <si>
    <t>7.1</t>
  </si>
  <si>
    <t>55.01.020</t>
  </si>
  <si>
    <t>De acordo com o BANCO DE PREÇOS DE OBRAS E SERVIÇOS DE ENGENHARIA da Sabesp (nov/2023).</t>
  </si>
  <si>
    <t>REFORMA ESTRUTURAL E ADEQUAÇÃO DO FILTRO N° 2 - ETA VILA PUREZA</t>
  </si>
  <si>
    <t>EQD</t>
  </si>
  <si>
    <t>SINALIZAÇÃO COM TELA PLASTICA LARANJA, TIPO TAPUME PARA SINALIZACAO, MALHA RETANGULAR, ROLO 1.20 X 50 M (L X C)</t>
  </si>
  <si>
    <t>UNMÊS</t>
  </si>
  <si>
    <t>02.02.150</t>
  </si>
  <si>
    <t>3.5</t>
  </si>
  <si>
    <t>05.04.060</t>
  </si>
  <si>
    <t>03.01.210</t>
  </si>
  <si>
    <r>
      <t xml:space="preserve">DEMOLIÇÃO MECANIZADA DE CONCRETO ARMADO, INCLUSIVE FRAGMENTAÇÃO E ACOMODAÇÃO DO MATERIAL </t>
    </r>
    <r>
      <rPr>
        <b/>
        <sz val="10"/>
        <rFont val="Cambria"/>
        <family val="1"/>
      </rPr>
      <t>(LAJES DE FUNDO)</t>
    </r>
  </si>
  <si>
    <r>
      <t xml:space="preserve">FORMA PLANA EM COMPENSADO PARA ESTRUTURA APARENTE </t>
    </r>
    <r>
      <rPr>
        <b/>
        <sz val="10"/>
        <rFont val="Cambria"/>
        <family val="1"/>
      </rPr>
      <t>(PAR.1 e PAR.2)</t>
    </r>
  </si>
  <si>
    <r>
      <t xml:space="preserve">MONTAGEM E DESMONTAGEM DE FÔRMA DE VIGA, ESCORAMENTO COM PONTALETE DE MADEIRA, EM MADEIRA SERRADA. AF_09/2020 </t>
    </r>
    <r>
      <rPr>
        <b/>
        <sz val="10"/>
        <rFont val="Cambria"/>
        <family val="1"/>
      </rPr>
      <t>(VIGAS CANALETAS)</t>
    </r>
  </si>
  <si>
    <r>
      <t xml:space="preserve">FÔRMA METÁLICA PARA CONFECÇÃO DE PEÇAS PRÉ-MOLDADAS </t>
    </r>
    <r>
      <rPr>
        <b/>
        <sz val="10"/>
        <rFont val="Cambria"/>
        <family val="1"/>
      </rPr>
      <t>(LAJE DE FUNDO)</t>
    </r>
  </si>
  <si>
    <t>10.01.040</t>
  </si>
  <si>
    <t>10.01.060</t>
  </si>
  <si>
    <t>ARMADURA EM BARRA DE AÇO CA-60 (A OU B) FYK = 600 MPA</t>
  </si>
  <si>
    <t>ARMADURA EM BARRA DE AÇO CA-50 (A OU B) FYK = 500 MPA</t>
  </si>
  <si>
    <t>5.2</t>
  </si>
  <si>
    <t>3.6</t>
  </si>
  <si>
    <r>
      <t xml:space="preserve">LIMPEZA MANUAL DO FUNDO FALSO </t>
    </r>
    <r>
      <rPr>
        <b/>
        <sz val="10"/>
        <rFont val="Cambria"/>
        <family val="1"/>
      </rPr>
      <t>(FILTRO N°2)</t>
    </r>
  </si>
  <si>
    <r>
      <t xml:space="preserve">LANÇAMENTO E ADENSAMENTO DE CONCRETO OU MASSA POR BOMBEAMENTO </t>
    </r>
    <r>
      <rPr>
        <b/>
        <sz val="10"/>
        <rFont val="Cambria"/>
        <family val="1"/>
      </rPr>
      <t>(PAREDES E VIGAS CANALETAS)</t>
    </r>
  </si>
  <si>
    <t>11.16.040</t>
  </si>
  <si>
    <r>
      <t xml:space="preserve">LANÇAMENTO E ADENSAMENTO DE CONCRETO DE FORMA MANUAL </t>
    </r>
    <r>
      <rPr>
        <b/>
        <sz val="10"/>
        <rFont val="Cambria"/>
        <family val="1"/>
      </rPr>
      <t>(LAJES PRÉ-MOLDADAS)</t>
    </r>
  </si>
  <si>
    <t>01.23.030</t>
  </si>
  <si>
    <t>PREPARO DE PONTE DE ADERÊNCIA COM ADESIVO A BASE DE EPÓXI</t>
  </si>
  <si>
    <t>55.01.140</t>
  </si>
  <si>
    <t>LIMPEZA DE SUPERFÍCIE COM HIDROJATEAMENTO</t>
  </si>
  <si>
    <t>17.02.040</t>
  </si>
  <si>
    <t>CHAPISCO COM ADESIVO DE ALTO DESEMPENHO (REF. BIANCO VEDACIT DA OTTO BAUMGART, BIANCOLA PVA DA CIPLAK OU EQUIVALENTE)</t>
  </si>
  <si>
    <t>SBC</t>
  </si>
  <si>
    <t>013026</t>
  </si>
  <si>
    <t>ALUGUEL MENSAL DE GUINCHO ELÉTRICO DE COLUNA, CAPACIDADE 400KG, COM MOTO FREIO, MOTOR TRIFÁSICO DE 1,25 CV, COM OPERADOR</t>
  </si>
  <si>
    <t>Código
(Ref.)</t>
  </si>
  <si>
    <t>Fonte</t>
  </si>
  <si>
    <t>CV00183</t>
  </si>
  <si>
    <t>MEIO FILTRANTE (AREIA NBR 11799 PARA FILTRO), CONFORME ESPECIFICAÇÕES DO MEMORIAL DESCRITIVO</t>
  </si>
  <si>
    <t>CAMADA SUPORTE (AREIA NBR 11799 PARA FILTRO), CONFORME ESPECIFICAÇÕES DO MEMORIAL DESCRITIVO</t>
  </si>
  <si>
    <t>INSTALAÇÃO DE CREPINA DN 1" COM CHUMBAMENTO PONTUAL EM PASSAGEM DE TUBO COM DIÂMETRO MENOR OU IGUAL A 40 MM. AF_09/2023</t>
  </si>
  <si>
    <t>8.</t>
  </si>
  <si>
    <t>8.1</t>
  </si>
  <si>
    <r>
      <t xml:space="preserve">INTALAÇÃO DE CREPINAS </t>
    </r>
    <r>
      <rPr>
        <b/>
        <sz val="10"/>
        <rFont val="Calibri"/>
        <family val="2"/>
      </rPr>
      <t>Ø</t>
    </r>
    <r>
      <rPr>
        <b/>
        <sz val="10"/>
        <rFont val="Cambria"/>
        <family val="1"/>
      </rPr>
      <t>1"</t>
    </r>
  </si>
  <si>
    <t>EXECUÇÃO DO MEIO FILTRANTE</t>
  </si>
  <si>
    <t>7.2</t>
  </si>
  <si>
    <t>7.3</t>
  </si>
  <si>
    <t>LIMPEZA FINAL DA OBRA</t>
  </si>
  <si>
    <r>
      <t xml:space="preserve">SINAPI 03-2024 / CPOS 03-2024 / SBC 05/2024 / SABESP 01-2024
</t>
    </r>
    <r>
      <rPr>
        <b/>
        <sz val="10"/>
        <rFont val="Arial"/>
        <family val="2"/>
      </rPr>
      <t>(NÃO DESONERADO)</t>
    </r>
  </si>
  <si>
    <t>01.17.061</t>
  </si>
  <si>
    <r>
      <t xml:space="preserve">DEMOLIÇÃO DE CONCRETO ARMADO COM PRESERVAÇÃO DE ARMADURA, PARA REFORÇO E RECUPERAÇÃO ESTRUTURAL </t>
    </r>
    <r>
      <rPr>
        <b/>
        <sz val="10"/>
        <rFont val="Cambria"/>
        <family val="1"/>
      </rPr>
      <t>(TRECHOS DAS PAREDES EXISTENTES DE CONCRETO E VIGAS DE FUNDO - VF 14X18, CONFORME INDICAÇÕES EM PROJETO)</t>
    </r>
  </si>
  <si>
    <t>HM07618</t>
  </si>
  <si>
    <t>CHUMBADOR CBA AÇO INOX D=1/2" X L=4"* COM PARAFUSO AISI 304</t>
  </si>
  <si>
    <t>HM07624</t>
  </si>
  <si>
    <t>HM00262</t>
  </si>
  <si>
    <t>BARRA REDONDA AÇO INOX 5/8" MASSA TEÓRICA *(1,583KG/M) AISI 304</t>
  </si>
  <si>
    <r>
      <t xml:space="preserve">CHAPA AÇO INOX AISI 316L E=5/8" (132,00 KG/M2) - </t>
    </r>
    <r>
      <rPr>
        <b/>
        <sz val="10"/>
        <rFont val="Cambria"/>
        <family val="1"/>
      </rPr>
      <t>PEÇA "A"</t>
    </r>
  </si>
  <si>
    <t>HM07256</t>
  </si>
  <si>
    <r>
      <t xml:space="preserve">PERFIL L AÇO INOX 4" X 4" X 1/4" *(10,15 KG/M) AISI 304 - </t>
    </r>
    <r>
      <rPr>
        <b/>
        <sz val="10"/>
        <rFont val="Cambria"/>
        <family val="1"/>
      </rPr>
      <t>PEÇA "B"</t>
    </r>
  </si>
  <si>
    <t>EXECUÇÃO, MONTAGEM E INSTALAÇÃO DE PEÇAS DE AÇO INOX</t>
  </si>
  <si>
    <t>LOCAÇÃO DE OBRA LOCALIZADAS</t>
  </si>
  <si>
    <t>4.8</t>
  </si>
  <si>
    <t>4.9</t>
  </si>
  <si>
    <t>4.10</t>
  </si>
  <si>
    <t>4.11</t>
  </si>
  <si>
    <t>4.12</t>
  </si>
  <si>
    <t>ARGAMASSA GRAUTE EXPANSIVA AUTONIVELANTE DE ALTA RESISTÊNCIA</t>
  </si>
  <si>
    <t>11.05.030</t>
  </si>
  <si>
    <t>4.13</t>
  </si>
  <si>
    <t>4.14</t>
  </si>
  <si>
    <t>4.15</t>
  </si>
  <si>
    <t>4.16</t>
  </si>
  <si>
    <t>4.19</t>
  </si>
  <si>
    <t>4.17</t>
  </si>
  <si>
    <t>HM06124</t>
  </si>
  <si>
    <t>CJ</t>
  </si>
  <si>
    <t>ACESSÓRIOS EM AÇO INOX 304 PARA FIXAÇÃO DAS PEÇAS "A" D=5/8" (2 x PORCAS E ARRUELA)</t>
  </si>
  <si>
    <t>4.18</t>
  </si>
  <si>
    <t>4.20</t>
  </si>
  <si>
    <r>
      <t xml:space="preserve">ELABORAÇÃO DE PROJETO EXECUTIVO ESTRUTURAL - </t>
    </r>
    <r>
      <rPr>
        <b/>
        <sz val="10"/>
        <rFont val="Cambria"/>
        <family val="1"/>
      </rPr>
      <t>FILTRO 2</t>
    </r>
  </si>
  <si>
    <t xml:space="preserve">TOTAL GERAL: </t>
  </si>
  <si>
    <t>17.01.060</t>
  </si>
  <si>
    <r>
      <t xml:space="preserve">REGULARIZAÇÃO DE SUPERFÍCIE COM NATA DE CIMENTO E ADESIVO DE ALTO DESEMPENHO </t>
    </r>
    <r>
      <rPr>
        <b/>
        <sz val="10"/>
        <rFont val="Cambria"/>
        <family val="1"/>
      </rPr>
      <t>(VF 15X 20cm)</t>
    </r>
  </si>
  <si>
    <t>4.21</t>
  </si>
  <si>
    <t>03</t>
  </si>
  <si>
    <r>
      <t xml:space="preserve">LOGO EMPRESA
</t>
    </r>
    <r>
      <rPr>
        <sz val="10"/>
        <color rgb="FFFF0000"/>
        <rFont val="Tahoma"/>
        <family val="2"/>
      </rPr>
      <t>NOME
ENDEREÇO
CNPJ</t>
    </r>
  </si>
  <si>
    <t>LOCAL E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</si>
</sst>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* #,##0.00_);_(* \(#,##0.00\);_(* \-??_);_(@_)"/>
    <numFmt numFmtId="165" formatCode="#,##0.00\ "/>
    <numFmt numFmtId="166" formatCode="_(&quot;R$ &quot;* #,##0.00_);_(&quot;R$ &quot;* \(#,##0.00\);_(&quot;R$ &quot;* \-??_);_(@_)"/>
    <numFmt numFmtId="167" formatCode="_(* #,##0.0000_);_(* \(#,##0.0000\);_(* \-??_);_(@_)"/>
  </numFmts>
  <fonts count="38" x14ac:knownFonts="1">
    <font>
      <sz val="10"/>
      <name val="Arial"/>
      <charset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Tahoma"/>
      <family val="2"/>
      <charset val="1"/>
    </font>
    <font>
      <b/>
      <sz val="11"/>
      <color rgb="FF000000"/>
      <name val="Calibri"/>
      <family val="2"/>
      <charset val="1"/>
    </font>
    <font>
      <sz val="10"/>
      <name val="Tahoma"/>
      <family val="2"/>
      <charset val="1"/>
    </font>
    <font>
      <sz val="12"/>
      <name val="Tahoma"/>
      <family val="2"/>
      <charset val="1"/>
    </font>
    <font>
      <sz val="12"/>
      <name val="Arial"/>
      <family val="2"/>
      <charset val="1"/>
    </font>
    <font>
      <b/>
      <sz val="12"/>
      <name val="Tahoma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b/>
      <sz val="10"/>
      <name val="Arial"/>
      <family val="2"/>
    </font>
    <font>
      <b/>
      <sz val="10"/>
      <name val="Cambria"/>
      <family val="1"/>
    </font>
    <font>
      <b/>
      <sz val="11"/>
      <color rgb="FF000000"/>
      <name val="Cambria"/>
      <family val="1"/>
    </font>
    <font>
      <b/>
      <sz val="12"/>
      <name val="Cambria"/>
      <family val="1"/>
    </font>
    <font>
      <sz val="10"/>
      <name val="Cambria"/>
      <family val="1"/>
    </font>
    <font>
      <sz val="12"/>
      <name val="Cambria"/>
      <family val="1"/>
    </font>
    <font>
      <i/>
      <sz val="10"/>
      <name val="Cambria"/>
      <family val="1"/>
    </font>
    <font>
      <b/>
      <sz val="9"/>
      <color indexed="81"/>
      <name val="Segoe UI"/>
      <family val="2"/>
    </font>
    <font>
      <b/>
      <sz val="14"/>
      <name val="Cambria"/>
      <family val="1"/>
    </font>
    <font>
      <b/>
      <sz val="14"/>
      <name val="Arial"/>
      <family val="2"/>
    </font>
    <font>
      <i/>
      <sz val="1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Calibri"/>
      <family val="2"/>
      <scheme val="minor"/>
    </font>
    <font>
      <b/>
      <sz val="10"/>
      <color theme="0"/>
      <name val="Cambria"/>
      <family val="1"/>
    </font>
    <font>
      <b/>
      <sz val="12"/>
      <color theme="0"/>
      <name val="Cambria"/>
      <family val="1"/>
    </font>
    <font>
      <sz val="10"/>
      <color theme="0"/>
      <name val="Cambria"/>
      <family val="1"/>
    </font>
    <font>
      <i/>
      <sz val="10"/>
      <name val="Arial"/>
      <family val="2"/>
      <charset val="1"/>
    </font>
    <font>
      <b/>
      <sz val="11"/>
      <name val="Cambria"/>
      <family val="1"/>
    </font>
    <font>
      <b/>
      <sz val="18"/>
      <name val="Cambria"/>
      <family val="1"/>
    </font>
    <font>
      <sz val="11"/>
      <name val="Arial"/>
      <family val="2"/>
    </font>
    <font>
      <b/>
      <sz val="10"/>
      <name val="Calibri"/>
      <family val="2"/>
    </font>
    <font>
      <b/>
      <u/>
      <sz val="10"/>
      <name val="Arial"/>
      <family val="2"/>
    </font>
    <font>
      <b/>
      <sz val="14"/>
      <color theme="0"/>
      <name val="Cambria"/>
      <family val="1"/>
    </font>
    <font>
      <b/>
      <sz val="10"/>
      <color rgb="FFFF0000"/>
      <name val="Tahoma"/>
      <family val="2"/>
    </font>
    <font>
      <sz val="10"/>
      <color rgb="FFFF0000"/>
      <name val="Tahoma"/>
      <family val="2"/>
    </font>
    <font>
      <sz val="10"/>
      <color rgb="FFFF0000"/>
      <name val="Cambria"/>
      <family val="1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BFBFB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34998626667073579"/>
        <bgColor rgb="FFBFBFBF"/>
      </patternFill>
    </fill>
    <fill>
      <patternFill patternType="solid">
        <fgColor theme="1" tint="0.3499862666707357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/>
    <xf numFmtId="164" fontId="10" fillId="0" borderId="0" applyBorder="0" applyProtection="0"/>
    <xf numFmtId="166" fontId="10" fillId="0" borderId="0" applyBorder="0" applyProtection="0"/>
    <xf numFmtId="9" fontId="10" fillId="0" borderId="0" applyBorder="0" applyProtection="0"/>
    <xf numFmtId="0" fontId="1" fillId="0" borderId="0"/>
  </cellStyleXfs>
  <cellXfs count="263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49" fontId="5" fillId="0" borderId="0" xfId="0" applyNumberFormat="1" applyFont="1" applyBorder="1" applyAlignment="1">
      <alignment vertical="center"/>
    </xf>
    <xf numFmtId="49" fontId="6" fillId="0" borderId="0" xfId="0" applyNumberFormat="1" applyFont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49" fontId="15" fillId="0" borderId="0" xfId="0" applyNumberFormat="1" applyFont="1" applyBorder="1" applyAlignment="1">
      <alignment horizontal="left" vertical="center" wrapText="1"/>
    </xf>
    <xf numFmtId="49" fontId="15" fillId="0" borderId="0" xfId="0" applyNumberFormat="1" applyFont="1" applyBorder="1" applyAlignment="1">
      <alignment horizontal="center" vertical="center" wrapText="1"/>
    </xf>
    <xf numFmtId="4" fontId="15" fillId="0" borderId="0" xfId="1" applyNumberFormat="1" applyFont="1" applyBorder="1" applyAlignment="1" applyProtection="1">
      <alignment horizontal="right" vertical="center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49" fontId="15" fillId="0" borderId="0" xfId="0" applyNumberFormat="1" applyFont="1" applyBorder="1" applyAlignment="1">
      <alignment vertical="center"/>
    </xf>
    <xf numFmtId="0" fontId="15" fillId="0" borderId="0" xfId="0" applyFont="1"/>
    <xf numFmtId="0" fontId="12" fillId="0" borderId="0" xfId="0" applyFont="1" applyAlignment="1">
      <alignment vertical="center"/>
    </xf>
    <xf numFmtId="49" fontId="15" fillId="0" borderId="0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49" fontId="12" fillId="0" borderId="0" xfId="0" applyNumberFormat="1" applyFont="1" applyAlignment="1">
      <alignment horizontal="center" vertical="center"/>
    </xf>
    <xf numFmtId="49" fontId="12" fillId="0" borderId="0" xfId="0" applyNumberFormat="1" applyFont="1" applyBorder="1" applyAlignment="1">
      <alignment horizontal="center" vertical="center"/>
    </xf>
    <xf numFmtId="49" fontId="15" fillId="0" borderId="0" xfId="0" applyNumberFormat="1" applyFont="1" applyAlignment="1">
      <alignment horizontal="center" vertical="center"/>
    </xf>
    <xf numFmtId="0" fontId="12" fillId="0" borderId="0" xfId="0" applyFont="1"/>
    <xf numFmtId="0" fontId="2" fillId="0" borderId="0" xfId="0" applyFont="1" applyAlignment="1">
      <alignment vertical="center"/>
    </xf>
    <xf numFmtId="0" fontId="4" fillId="2" borderId="0" xfId="0" applyFont="1" applyFill="1" applyBorder="1" applyAlignment="1">
      <alignment horizontal="center" vertical="center" wrapText="1"/>
    </xf>
    <xf numFmtId="4" fontId="3" fillId="3" borderId="0" xfId="1" applyNumberFormat="1" applyFont="1" applyFill="1" applyBorder="1" applyAlignment="1" applyProtection="1">
      <alignment horizontal="center" vertical="center" wrapText="1"/>
    </xf>
    <xf numFmtId="0" fontId="7" fillId="2" borderId="0" xfId="0" applyFont="1" applyFill="1" applyBorder="1" applyAlignment="1">
      <alignment vertical="center"/>
    </xf>
    <xf numFmtId="166" fontId="8" fillId="3" borderId="0" xfId="2" applyFont="1" applyFill="1" applyBorder="1" applyAlignment="1" applyProtection="1">
      <alignment horizontal="center" vertical="center" wrapText="1"/>
    </xf>
    <xf numFmtId="164" fontId="5" fillId="2" borderId="0" xfId="1" applyFont="1" applyFill="1" applyBorder="1" applyAlignment="1" applyProtection="1">
      <alignment horizontal="right" vertical="center"/>
    </xf>
    <xf numFmtId="164" fontId="0" fillId="2" borderId="0" xfId="1" applyFont="1" applyFill="1" applyBorder="1" applyAlignment="1" applyProtection="1">
      <alignment vertical="center"/>
    </xf>
    <xf numFmtId="49" fontId="15" fillId="2" borderId="0" xfId="0" applyNumberFormat="1" applyFont="1" applyFill="1" applyBorder="1" applyAlignment="1">
      <alignment vertical="center"/>
    </xf>
    <xf numFmtId="0" fontId="15" fillId="2" borderId="0" xfId="0" applyFont="1" applyFill="1"/>
    <xf numFmtId="0" fontId="12" fillId="2" borderId="0" xfId="0" applyFont="1" applyFill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15" fillId="0" borderId="6" xfId="0" applyFont="1" applyFill="1" applyBorder="1" applyAlignment="1">
      <alignment horizontal="center" vertical="center" wrapText="1"/>
    </xf>
    <xf numFmtId="0" fontId="15" fillId="0" borderId="6" xfId="0" quotePrefix="1" applyFont="1" applyBorder="1" applyAlignment="1">
      <alignment horizontal="center" vertical="center"/>
    </xf>
    <xf numFmtId="0" fontId="15" fillId="0" borderId="6" xfId="0" applyFont="1" applyBorder="1" applyAlignment="1">
      <alignment vertical="center" wrapText="1"/>
    </xf>
    <xf numFmtId="165" fontId="15" fillId="0" borderId="6" xfId="0" applyNumberFormat="1" applyFont="1" applyBorder="1" applyAlignment="1">
      <alignment horizontal="center" vertical="center" wrapText="1"/>
    </xf>
    <xf numFmtId="164" fontId="15" fillId="0" borderId="6" xfId="1" applyFont="1" applyBorder="1" applyAlignment="1" applyProtection="1">
      <alignment vertical="center"/>
    </xf>
    <xf numFmtId="164" fontId="15" fillId="0" borderId="6" xfId="1" applyFont="1" applyFill="1" applyBorder="1" applyAlignment="1" applyProtection="1">
      <alignment vertical="center"/>
    </xf>
    <xf numFmtId="10" fontId="15" fillId="0" borderId="0" xfId="3" applyNumberFormat="1" applyFont="1" applyFill="1" applyBorder="1" applyAlignment="1">
      <alignment horizontal="center" vertical="center"/>
    </xf>
    <xf numFmtId="0" fontId="15" fillId="0" borderId="6" xfId="0" applyFont="1" applyBorder="1" applyAlignment="1">
      <alignment horizontal="left" vertical="center" wrapText="1"/>
    </xf>
    <xf numFmtId="0" fontId="15" fillId="0" borderId="0" xfId="0" applyFont="1" applyBorder="1" applyAlignment="1">
      <alignment vertical="center"/>
    </xf>
    <xf numFmtId="10" fontId="15" fillId="0" borderId="0" xfId="3" applyNumberFormat="1" applyFont="1" applyFill="1" applyBorder="1" applyAlignment="1">
      <alignment horizontal="center" vertical="center" wrapText="1"/>
    </xf>
    <xf numFmtId="10" fontId="15" fillId="4" borderId="0" xfId="3" applyNumberFormat="1" applyFont="1" applyFill="1" applyBorder="1" applyAlignment="1">
      <alignment horizontal="center" vertical="center"/>
    </xf>
    <xf numFmtId="10" fontId="15" fillId="4" borderId="0" xfId="3" applyNumberFormat="1" applyFont="1" applyFill="1" applyBorder="1" applyAlignment="1">
      <alignment horizontal="center" vertical="center" wrapText="1"/>
    </xf>
    <xf numFmtId="10" fontId="2" fillId="0" borderId="9" xfId="3" applyNumberFormat="1" applyFont="1" applyFill="1" applyBorder="1" applyAlignment="1">
      <alignment horizontal="center" vertical="center"/>
    </xf>
    <xf numFmtId="10" fontId="21" fillId="0" borderId="0" xfId="3" applyNumberFormat="1" applyFont="1" applyBorder="1" applyAlignment="1">
      <alignment horizontal="center" vertical="center"/>
    </xf>
    <xf numFmtId="10" fontId="21" fillId="4" borderId="0" xfId="3" applyNumberFormat="1" applyFont="1" applyFill="1" applyBorder="1" applyAlignment="1">
      <alignment horizontal="center" vertical="center"/>
    </xf>
    <xf numFmtId="10" fontId="17" fillId="0" borderId="8" xfId="3" applyNumberFormat="1" applyFont="1" applyBorder="1" applyAlignment="1">
      <alignment horizontal="center"/>
    </xf>
    <xf numFmtId="0" fontId="2" fillId="0" borderId="0" xfId="0" applyFont="1" applyBorder="1" applyAlignment="1">
      <alignment vertical="center"/>
    </xf>
    <xf numFmtId="10" fontId="2" fillId="0" borderId="0" xfId="3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13" fillId="0" borderId="0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5" fillId="0" borderId="16" xfId="0" applyFont="1" applyFill="1" applyBorder="1" applyAlignment="1">
      <alignment horizontal="center" vertical="center" wrapText="1"/>
    </xf>
    <xf numFmtId="0" fontId="15" fillId="0" borderId="16" xfId="0" quotePrefix="1" applyFont="1" applyBorder="1" applyAlignment="1">
      <alignment horizontal="center" vertical="center"/>
    </xf>
    <xf numFmtId="0" fontId="15" fillId="0" borderId="16" xfId="0" applyFont="1" applyBorder="1" applyAlignment="1">
      <alignment vertical="center" wrapText="1"/>
    </xf>
    <xf numFmtId="165" fontId="15" fillId="0" borderId="16" xfId="0" applyNumberFormat="1" applyFont="1" applyBorder="1" applyAlignment="1">
      <alignment horizontal="center" vertical="center" wrapText="1"/>
    </xf>
    <xf numFmtId="164" fontId="15" fillId="0" borderId="16" xfId="1" applyFont="1" applyBorder="1" applyAlignment="1" applyProtection="1">
      <alignment vertical="center"/>
    </xf>
    <xf numFmtId="164" fontId="15" fillId="0" borderId="16" xfId="1" applyFont="1" applyFill="1" applyBorder="1" applyAlignment="1" applyProtection="1">
      <alignment vertical="center"/>
    </xf>
    <xf numFmtId="0" fontId="15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left" vertical="center"/>
    </xf>
    <xf numFmtId="9" fontId="15" fillId="0" borderId="0" xfId="3" applyFont="1" applyBorder="1" applyAlignment="1" applyProtection="1">
      <alignment horizontal="center" vertical="center"/>
    </xf>
    <xf numFmtId="166" fontId="12" fillId="0" borderId="0" xfId="2" applyFont="1" applyBorder="1" applyAlignment="1" applyProtection="1">
      <alignment horizontal="center" vertical="center"/>
    </xf>
    <xf numFmtId="10" fontId="12" fillId="0" borderId="0" xfId="3" applyNumberFormat="1" applyFont="1" applyBorder="1" applyAlignment="1" applyProtection="1">
      <alignment horizontal="center" vertical="center"/>
    </xf>
    <xf numFmtId="10" fontId="15" fillId="0" borderId="16" xfId="3" applyNumberFormat="1" applyFont="1" applyFill="1" applyBorder="1" applyAlignment="1" applyProtection="1">
      <alignment horizontal="center" vertical="center"/>
    </xf>
    <xf numFmtId="166" fontId="12" fillId="0" borderId="19" xfId="2" applyFont="1" applyFill="1" applyBorder="1" applyAlignment="1" applyProtection="1">
      <alignment horizontal="center" vertical="center"/>
    </xf>
    <xf numFmtId="166" fontId="12" fillId="0" borderId="20" xfId="2" applyFont="1" applyFill="1" applyBorder="1" applyAlignment="1" applyProtection="1">
      <alignment horizontal="center" vertical="center"/>
    </xf>
    <xf numFmtId="0" fontId="11" fillId="0" borderId="1" xfId="0" applyFont="1" applyBorder="1" applyAlignment="1">
      <alignment horizontal="left" vertical="center"/>
    </xf>
    <xf numFmtId="0" fontId="11" fillId="0" borderId="0" xfId="0" applyFont="1" applyBorder="1" applyAlignment="1">
      <alignment horizontal="left" vertical="center"/>
    </xf>
    <xf numFmtId="0" fontId="23" fillId="0" borderId="0" xfId="0" applyFont="1" applyBorder="1" applyAlignment="1">
      <alignment horizontal="left" vertical="center" wrapText="1"/>
    </xf>
    <xf numFmtId="0" fontId="23" fillId="0" borderId="13" xfId="0" applyFont="1" applyBorder="1" applyAlignment="1">
      <alignment horizontal="left" vertical="center" wrapText="1"/>
    </xf>
    <xf numFmtId="0" fontId="23" fillId="0" borderId="18" xfId="0" applyFont="1" applyBorder="1" applyAlignment="1">
      <alignment horizontal="left" vertical="center" wrapText="1"/>
    </xf>
    <xf numFmtId="0" fontId="23" fillId="0" borderId="1" xfId="0" applyFont="1" applyBorder="1" applyAlignment="1">
      <alignment horizontal="left" vertical="center" wrapText="1"/>
    </xf>
    <xf numFmtId="0" fontId="24" fillId="0" borderId="10" xfId="0" applyFont="1" applyBorder="1" applyAlignment="1">
      <alignment vertical="center" wrapText="1"/>
    </xf>
    <xf numFmtId="0" fontId="22" fillId="0" borderId="14" xfId="0" quotePrefix="1" applyFont="1" applyBorder="1" applyAlignment="1">
      <alignment horizontal="center" vertical="center" wrapText="1"/>
    </xf>
    <xf numFmtId="17" fontId="22" fillId="0" borderId="14" xfId="0" quotePrefix="1" applyNumberFormat="1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164" fontId="15" fillId="0" borderId="6" xfId="1" applyFont="1" applyFill="1" applyBorder="1" applyAlignment="1" applyProtection="1">
      <alignment horizontal="center" vertical="center"/>
    </xf>
    <xf numFmtId="10" fontId="10" fillId="0" borderId="14" xfId="3" applyNumberFormat="1" applyBorder="1" applyAlignment="1">
      <alignment horizontal="center" vertical="center"/>
    </xf>
    <xf numFmtId="10" fontId="2" fillId="0" borderId="10" xfId="3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7" fontId="22" fillId="0" borderId="11" xfId="0" quotePrefix="1" applyNumberFormat="1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49" fontId="15" fillId="0" borderId="13" xfId="0" applyNumberFormat="1" applyFont="1" applyBorder="1" applyAlignment="1">
      <alignment vertical="center"/>
    </xf>
    <xf numFmtId="166" fontId="12" fillId="0" borderId="15" xfId="0" applyNumberFormat="1" applyFont="1" applyFill="1" applyBorder="1" applyAlignment="1">
      <alignment vertical="center"/>
    </xf>
    <xf numFmtId="0" fontId="12" fillId="0" borderId="12" xfId="0" applyFont="1" applyFill="1" applyBorder="1" applyAlignment="1">
      <alignment horizontal="center" vertical="center" wrapText="1"/>
    </xf>
    <xf numFmtId="10" fontId="2" fillId="0" borderId="11" xfId="3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10" fontId="17" fillId="0" borderId="15" xfId="3" applyNumberFormat="1" applyFont="1" applyFill="1" applyBorder="1" applyAlignment="1" applyProtection="1">
      <alignment horizontal="center" vertical="center"/>
    </xf>
    <xf numFmtId="10" fontId="17" fillId="0" borderId="14" xfId="3" applyNumberFormat="1" applyFont="1" applyFill="1" applyBorder="1" applyAlignment="1" applyProtection="1">
      <alignment horizontal="center" vertical="center"/>
    </xf>
    <xf numFmtId="0" fontId="11" fillId="0" borderId="19" xfId="0" applyFont="1" applyFill="1" applyBorder="1" applyAlignment="1">
      <alignment horizontal="center" vertical="center" wrapText="1"/>
    </xf>
    <xf numFmtId="4" fontId="11" fillId="0" borderId="19" xfId="1" applyNumberFormat="1" applyFont="1" applyFill="1" applyBorder="1" applyAlignment="1" applyProtection="1">
      <alignment horizontal="center" vertical="center" wrapText="1"/>
    </xf>
    <xf numFmtId="4" fontId="20" fillId="0" borderId="19" xfId="1" applyNumberFormat="1" applyFont="1" applyFill="1" applyBorder="1" applyAlignment="1" applyProtection="1">
      <alignment horizontal="center" vertical="center" wrapText="1"/>
    </xf>
    <xf numFmtId="0" fontId="15" fillId="0" borderId="15" xfId="0" applyFont="1" applyBorder="1" applyAlignment="1">
      <alignment horizontal="left" vertical="center" wrapText="1"/>
    </xf>
    <xf numFmtId="0" fontId="15" fillId="0" borderId="15" xfId="0" applyFont="1" applyFill="1" applyBorder="1" applyAlignment="1">
      <alignment horizontal="center" vertical="center" wrapText="1"/>
    </xf>
    <xf numFmtId="0" fontId="15" fillId="0" borderId="15" xfId="0" quotePrefix="1" applyFont="1" applyBorder="1" applyAlignment="1">
      <alignment horizontal="center" vertical="center"/>
    </xf>
    <xf numFmtId="0" fontId="15" fillId="0" borderId="15" xfId="0" applyFont="1" applyBorder="1" applyAlignment="1">
      <alignment vertical="center" wrapText="1"/>
    </xf>
    <xf numFmtId="165" fontId="15" fillId="0" borderId="15" xfId="0" applyNumberFormat="1" applyFont="1" applyBorder="1" applyAlignment="1">
      <alignment horizontal="center" vertical="center" wrapText="1"/>
    </xf>
    <xf numFmtId="164" fontId="15" fillId="0" borderId="15" xfId="1" applyFont="1" applyBorder="1" applyAlignment="1" applyProtection="1">
      <alignment vertical="center"/>
    </xf>
    <xf numFmtId="164" fontId="15" fillId="0" borderId="15" xfId="1" applyFont="1" applyFill="1" applyBorder="1" applyAlignment="1" applyProtection="1">
      <alignment vertical="center"/>
    </xf>
    <xf numFmtId="164" fontId="15" fillId="0" borderId="15" xfId="1" applyFont="1" applyFill="1" applyBorder="1" applyAlignment="1" applyProtection="1">
      <alignment horizontal="center" vertical="center"/>
    </xf>
    <xf numFmtId="0" fontId="16" fillId="0" borderId="15" xfId="0" applyFont="1" applyBorder="1" applyAlignment="1">
      <alignment horizontal="right" vertical="center"/>
    </xf>
    <xf numFmtId="0" fontId="9" fillId="2" borderId="0" xfId="0" applyFont="1" applyFill="1" applyBorder="1" applyAlignment="1">
      <alignment vertical="top"/>
    </xf>
    <xf numFmtId="0" fontId="9" fillId="0" borderId="0" xfId="0" applyFont="1" applyAlignment="1">
      <alignment vertical="top"/>
    </xf>
    <xf numFmtId="0" fontId="7" fillId="2" borderId="0" xfId="0" applyFont="1" applyFill="1" applyBorder="1" applyAlignment="1">
      <alignment vertical="top"/>
    </xf>
    <xf numFmtId="0" fontId="7" fillId="0" borderId="0" xfId="0" applyFont="1" applyAlignment="1">
      <alignment vertical="top"/>
    </xf>
    <xf numFmtId="0" fontId="15" fillId="0" borderId="4" xfId="0" applyFont="1" applyBorder="1" applyAlignment="1">
      <alignment vertical="top"/>
    </xf>
    <xf numFmtId="0" fontId="15" fillId="0" borderId="17" xfId="0" applyFont="1" applyFill="1" applyBorder="1" applyAlignment="1">
      <alignment horizontal="center" vertical="center" wrapText="1"/>
    </xf>
    <xf numFmtId="164" fontId="15" fillId="0" borderId="17" xfId="1" applyFont="1" applyBorder="1" applyAlignment="1" applyProtection="1">
      <alignment vertical="center"/>
    </xf>
    <xf numFmtId="164" fontId="15" fillId="0" borderId="17" xfId="1" applyFont="1" applyFill="1" applyBorder="1" applyAlignment="1" applyProtection="1">
      <alignment vertical="center"/>
    </xf>
    <xf numFmtId="0" fontId="15" fillId="0" borderId="0" xfId="0" applyFont="1" applyFill="1" applyBorder="1" applyAlignment="1">
      <alignment horizontal="left" vertical="center"/>
    </xf>
    <xf numFmtId="164" fontId="15" fillId="0" borderId="0" xfId="1" applyFont="1" applyBorder="1" applyAlignment="1" applyProtection="1">
      <alignment horizontal="right" vertical="center"/>
    </xf>
    <xf numFmtId="0" fontId="15" fillId="0" borderId="0" xfId="0" applyFont="1" applyAlignment="1">
      <alignment horizontal="center" vertical="center"/>
    </xf>
    <xf numFmtId="0" fontId="12" fillId="0" borderId="8" xfId="0" applyFont="1" applyFill="1" applyBorder="1" applyAlignment="1">
      <alignment horizontal="center" vertical="center"/>
    </xf>
    <xf numFmtId="0" fontId="12" fillId="0" borderId="8" xfId="0" applyFont="1" applyFill="1" applyBorder="1" applyAlignment="1">
      <alignment horizontal="left" vertical="center"/>
    </xf>
    <xf numFmtId="10" fontId="12" fillId="0" borderId="8" xfId="3" applyNumberFormat="1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vertical="center"/>
    </xf>
    <xf numFmtId="10" fontId="12" fillId="2" borderId="2" xfId="0" applyNumberFormat="1" applyFont="1" applyFill="1" applyBorder="1" applyAlignment="1">
      <alignment horizontal="center" vertical="center"/>
    </xf>
    <xf numFmtId="0" fontId="15" fillId="0" borderId="6" xfId="0" quotePrefix="1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vertical="center" wrapText="1"/>
    </xf>
    <xf numFmtId="0" fontId="15" fillId="0" borderId="0" xfId="0" applyFont="1" applyFill="1" applyBorder="1" applyAlignment="1">
      <alignment vertical="center"/>
    </xf>
    <xf numFmtId="0" fontId="15" fillId="0" borderId="0" xfId="0" applyFont="1" applyAlignment="1">
      <alignment horizontal="left" vertical="center"/>
    </xf>
    <xf numFmtId="164" fontId="15" fillId="0" borderId="16" xfId="1" applyFont="1" applyFill="1" applyBorder="1" applyAlignment="1" applyProtection="1">
      <alignment horizontal="center" vertical="center"/>
    </xf>
    <xf numFmtId="10" fontId="15" fillId="0" borderId="2" xfId="3" applyNumberFormat="1" applyFont="1" applyFill="1" applyBorder="1" applyAlignment="1">
      <alignment horizontal="center" vertical="center" wrapText="1"/>
    </xf>
    <xf numFmtId="10" fontId="12" fillId="0" borderId="0" xfId="3" applyNumberFormat="1" applyFont="1" applyFill="1" applyBorder="1" applyAlignment="1">
      <alignment horizontal="center" vertical="center"/>
    </xf>
    <xf numFmtId="10" fontId="21" fillId="0" borderId="2" xfId="3" applyNumberFormat="1" applyFont="1" applyBorder="1" applyAlignment="1">
      <alignment horizontal="center" vertical="center"/>
    </xf>
    <xf numFmtId="17" fontId="21" fillId="0" borderId="0" xfId="3" applyNumberFormat="1" applyFont="1" applyBorder="1" applyAlignment="1">
      <alignment horizontal="center" vertical="center"/>
    </xf>
    <xf numFmtId="17" fontId="21" fillId="4" borderId="0" xfId="3" applyNumberFormat="1" applyFont="1" applyFill="1" applyBorder="1" applyAlignment="1">
      <alignment horizontal="center" vertical="center"/>
    </xf>
    <xf numFmtId="17" fontId="21" fillId="0" borderId="2" xfId="3" applyNumberFormat="1" applyFont="1" applyBorder="1" applyAlignment="1">
      <alignment horizontal="center" vertical="center"/>
    </xf>
    <xf numFmtId="10" fontId="15" fillId="0" borderId="2" xfId="3" applyNumberFormat="1" applyFont="1" applyFill="1" applyBorder="1" applyAlignment="1">
      <alignment horizontal="center" vertical="center"/>
    </xf>
    <xf numFmtId="10" fontId="11" fillId="0" borderId="0" xfId="0" applyNumberFormat="1" applyFont="1" applyAlignment="1">
      <alignment vertical="center"/>
    </xf>
    <xf numFmtId="0" fontId="15" fillId="0" borderId="4" xfId="0" applyFont="1" applyBorder="1" applyAlignment="1">
      <alignment vertical="top" wrapText="1"/>
    </xf>
    <xf numFmtId="0" fontId="15" fillId="0" borderId="0" xfId="0" applyFont="1" applyFill="1" applyBorder="1" applyAlignment="1">
      <alignment vertical="center" wrapText="1"/>
    </xf>
    <xf numFmtId="0" fontId="15" fillId="0" borderId="0" xfId="0" applyFont="1" applyAlignment="1">
      <alignment vertical="center" wrapText="1"/>
    </xf>
    <xf numFmtId="0" fontId="0" fillId="0" borderId="0" xfId="0" applyAlignment="1">
      <alignment wrapText="1"/>
    </xf>
    <xf numFmtId="164" fontId="15" fillId="0" borderId="17" xfId="1" applyFont="1" applyFill="1" applyBorder="1" applyAlignment="1" applyProtection="1">
      <alignment horizontal="center" vertical="center"/>
    </xf>
    <xf numFmtId="0" fontId="16" fillId="0" borderId="16" xfId="0" applyFont="1" applyFill="1" applyBorder="1" applyAlignment="1">
      <alignment horizontal="right" vertical="center"/>
    </xf>
    <xf numFmtId="0" fontId="15" fillId="0" borderId="17" xfId="0" applyFont="1" applyBorder="1" applyAlignment="1">
      <alignment horizontal="left" vertical="center" wrapText="1"/>
    </xf>
    <xf numFmtId="0" fontId="15" fillId="0" borderId="16" xfId="0" applyFont="1" applyFill="1" applyBorder="1" applyAlignment="1">
      <alignment horizontal="left" vertical="center" wrapText="1"/>
    </xf>
    <xf numFmtId="0" fontId="12" fillId="5" borderId="3" xfId="0" applyFont="1" applyFill="1" applyBorder="1" applyAlignment="1">
      <alignment horizontal="left" vertical="top" wrapText="1"/>
    </xf>
    <xf numFmtId="0" fontId="12" fillId="5" borderId="4" xfId="0" applyFont="1" applyFill="1" applyBorder="1" applyAlignment="1">
      <alignment horizontal="center" vertical="top" wrapText="1"/>
    </xf>
    <xf numFmtId="0" fontId="12" fillId="5" borderId="4" xfId="0" quotePrefix="1" applyFont="1" applyFill="1" applyBorder="1" applyAlignment="1">
      <alignment horizontal="center" vertical="top"/>
    </xf>
    <xf numFmtId="0" fontId="12" fillId="5" borderId="4" xfId="0" applyFont="1" applyFill="1" applyBorder="1" applyAlignment="1">
      <alignment vertical="top" wrapText="1"/>
    </xf>
    <xf numFmtId="165" fontId="12" fillId="5" borderId="4" xfId="0" applyNumberFormat="1" applyFont="1" applyFill="1" applyBorder="1" applyAlignment="1">
      <alignment horizontal="center" vertical="top" wrapText="1"/>
    </xf>
    <xf numFmtId="4" fontId="12" fillId="5" borderId="4" xfId="1" applyNumberFormat="1" applyFont="1" applyFill="1" applyBorder="1" applyAlignment="1" applyProtection="1">
      <alignment horizontal="center" vertical="top" wrapText="1"/>
    </xf>
    <xf numFmtId="166" fontId="12" fillId="5" borderId="4" xfId="2" applyFont="1" applyFill="1" applyBorder="1" applyAlignment="1" applyProtection="1">
      <alignment vertical="top"/>
    </xf>
    <xf numFmtId="10" fontId="12" fillId="5" borderId="5" xfId="3" applyNumberFormat="1" applyFont="1" applyFill="1" applyBorder="1" applyAlignment="1">
      <alignment horizontal="right" vertical="top"/>
    </xf>
    <xf numFmtId="0" fontId="15" fillId="0" borderId="17" xfId="0" quotePrefix="1" applyFont="1" applyFill="1" applyBorder="1" applyAlignment="1">
      <alignment horizontal="center" vertical="center"/>
    </xf>
    <xf numFmtId="165" fontId="15" fillId="0" borderId="17" xfId="0" applyNumberFormat="1" applyFont="1" applyFill="1" applyBorder="1" applyAlignment="1">
      <alignment horizontal="center" vertical="center" wrapText="1"/>
    </xf>
    <xf numFmtId="10" fontId="12" fillId="0" borderId="17" xfId="3" applyNumberFormat="1" applyFont="1" applyFill="1" applyBorder="1" applyAlignment="1">
      <alignment horizontal="right" vertical="center"/>
    </xf>
    <xf numFmtId="0" fontId="15" fillId="0" borderId="17" xfId="0" applyFont="1" applyFill="1" applyBorder="1" applyAlignment="1">
      <alignment vertical="center" wrapText="1"/>
    </xf>
    <xf numFmtId="0" fontId="28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167" fontId="10" fillId="0" borderId="0" xfId="1" applyNumberFormat="1" applyBorder="1" applyAlignment="1">
      <alignment vertical="center"/>
    </xf>
    <xf numFmtId="0" fontId="7" fillId="0" borderId="0" xfId="0" applyFont="1" applyBorder="1" applyAlignment="1">
      <alignment vertical="top"/>
    </xf>
    <xf numFmtId="0" fontId="12" fillId="0" borderId="12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5" fillId="4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49" fontId="12" fillId="4" borderId="8" xfId="0" applyNumberFormat="1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49" fontId="12" fillId="4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9" fontId="26" fillId="7" borderId="5" xfId="3" applyNumberFormat="1" applyFont="1" applyFill="1" applyBorder="1" applyAlignment="1" applyProtection="1">
      <alignment horizontal="center" vertical="center"/>
    </xf>
    <xf numFmtId="166" fontId="25" fillId="7" borderId="17" xfId="0" applyNumberFormat="1" applyFont="1" applyFill="1" applyBorder="1" applyAlignment="1">
      <alignment vertical="center"/>
    </xf>
    <xf numFmtId="10" fontId="27" fillId="7" borderId="16" xfId="3" applyNumberFormat="1" applyFont="1" applyFill="1" applyBorder="1" applyAlignment="1" applyProtection="1">
      <alignment horizontal="center" vertical="center"/>
    </xf>
    <xf numFmtId="0" fontId="15" fillId="0" borderId="17" xfId="0" applyFont="1" applyFill="1" applyBorder="1" applyAlignment="1">
      <alignment horizontal="left" vertical="center" wrapText="1"/>
    </xf>
    <xf numFmtId="9" fontId="2" fillId="0" borderId="17" xfId="3" applyFont="1" applyFill="1" applyBorder="1"/>
    <xf numFmtId="0" fontId="15" fillId="0" borderId="6" xfId="0" applyFont="1" applyFill="1" applyBorder="1" applyAlignment="1">
      <alignment horizontal="left" vertical="center" wrapText="1"/>
    </xf>
    <xf numFmtId="165" fontId="15" fillId="0" borderId="6" xfId="0" applyNumberFormat="1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right" vertical="center"/>
    </xf>
    <xf numFmtId="0" fontId="15" fillId="0" borderId="15" xfId="0" applyFont="1" applyFill="1" applyBorder="1" applyAlignment="1">
      <alignment horizontal="left" vertical="center" wrapText="1"/>
    </xf>
    <xf numFmtId="165" fontId="15" fillId="0" borderId="15" xfId="0" applyNumberFormat="1" applyFont="1" applyFill="1" applyBorder="1" applyAlignment="1">
      <alignment horizontal="center" vertical="center" wrapText="1"/>
    </xf>
    <xf numFmtId="9" fontId="2" fillId="0" borderId="15" xfId="3" applyFont="1" applyFill="1" applyBorder="1"/>
    <xf numFmtId="0" fontId="7" fillId="0" borderId="0" xfId="0" applyFont="1" applyFill="1" applyBorder="1" applyAlignment="1">
      <alignment vertical="center"/>
    </xf>
    <xf numFmtId="0" fontId="7" fillId="0" borderId="0" xfId="0" applyFont="1" applyFill="1" applyAlignment="1">
      <alignment vertical="center"/>
    </xf>
    <xf numFmtId="0" fontId="15" fillId="0" borderId="15" xfId="0" quotePrefix="1" applyFont="1" applyFill="1" applyBorder="1" applyAlignment="1">
      <alignment horizontal="center" vertical="center"/>
    </xf>
    <xf numFmtId="0" fontId="15" fillId="0" borderId="15" xfId="0" applyFont="1" applyFill="1" applyBorder="1" applyAlignment="1">
      <alignment vertical="center" wrapText="1"/>
    </xf>
    <xf numFmtId="0" fontId="28" fillId="0" borderId="0" xfId="0" applyFont="1" applyFill="1" applyBorder="1" applyAlignment="1">
      <alignment vertical="center"/>
    </xf>
    <xf numFmtId="167" fontId="10" fillId="0" borderId="0" xfId="1" applyNumberFormat="1" applyFill="1" applyBorder="1" applyAlignment="1">
      <alignment vertical="center"/>
    </xf>
    <xf numFmtId="0" fontId="11" fillId="0" borderId="1" xfId="0" applyFont="1" applyBorder="1" applyAlignment="1">
      <alignment horizontal="center" vertical="center" wrapText="1"/>
    </xf>
    <xf numFmtId="0" fontId="15" fillId="0" borderId="6" xfId="0" quotePrefix="1" applyFont="1" applyFill="1" applyBorder="1" applyAlignment="1">
      <alignment vertical="center" wrapText="1"/>
    </xf>
    <xf numFmtId="0" fontId="16" fillId="0" borderId="16" xfId="0" applyFont="1" applyBorder="1" applyAlignment="1">
      <alignment horizontal="right" vertical="center"/>
    </xf>
    <xf numFmtId="0" fontId="33" fillId="0" borderId="19" xfId="0" applyFont="1" applyFill="1" applyBorder="1" applyAlignment="1">
      <alignment horizontal="center" vertical="center" wrapText="1"/>
    </xf>
    <xf numFmtId="0" fontId="16" fillId="0" borderId="15" xfId="0" applyFont="1" applyFill="1" applyBorder="1" applyAlignment="1">
      <alignment horizontal="right" vertical="center"/>
    </xf>
    <xf numFmtId="0" fontId="16" fillId="0" borderId="20" xfId="0" applyFont="1" applyFill="1" applyBorder="1" applyAlignment="1">
      <alignment horizontal="right" vertical="center"/>
    </xf>
    <xf numFmtId="166" fontId="34" fillId="6" borderId="4" xfId="2" applyFont="1" applyFill="1" applyBorder="1" applyAlignment="1" applyProtection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164" fontId="37" fillId="0" borderId="0" xfId="1" applyFont="1" applyBorder="1" applyAlignment="1" applyProtection="1">
      <alignment horizontal="center" vertical="center"/>
    </xf>
    <xf numFmtId="0" fontId="35" fillId="0" borderId="21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/>
    </xf>
    <xf numFmtId="0" fontId="29" fillId="0" borderId="21" xfId="0" applyFont="1" applyBorder="1" applyAlignment="1">
      <alignment horizontal="right" wrapText="1"/>
    </xf>
    <xf numFmtId="0" fontId="26" fillId="6" borderId="3" xfId="0" applyFont="1" applyFill="1" applyBorder="1" applyAlignment="1">
      <alignment horizontal="right" vertical="center" wrapText="1"/>
    </xf>
    <xf numFmtId="0" fontId="26" fillId="6" borderId="4" xfId="0" applyFont="1" applyFill="1" applyBorder="1" applyAlignment="1">
      <alignment horizontal="right" vertical="center" wrapText="1"/>
    </xf>
    <xf numFmtId="0" fontId="2" fillId="0" borderId="10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30" fillId="0" borderId="21" xfId="0" applyFont="1" applyFill="1" applyBorder="1" applyAlignment="1">
      <alignment horizontal="right" wrapText="1"/>
    </xf>
    <xf numFmtId="0" fontId="12" fillId="0" borderId="6" xfId="0" applyFont="1" applyFill="1" applyBorder="1" applyAlignment="1">
      <alignment horizontal="center" vertical="top"/>
    </xf>
    <xf numFmtId="0" fontId="12" fillId="0" borderId="6" xfId="0" applyFont="1" applyFill="1" applyBorder="1" applyAlignment="1">
      <alignment horizontal="left" vertical="top" wrapText="1"/>
    </xf>
    <xf numFmtId="166" fontId="12" fillId="0" borderId="6" xfId="2" applyFont="1" applyFill="1" applyBorder="1" applyAlignment="1" applyProtection="1">
      <alignment horizontal="center" vertical="top"/>
    </xf>
    <xf numFmtId="10" fontId="12" fillId="0" borderId="6" xfId="3" applyNumberFormat="1" applyFont="1" applyFill="1" applyBorder="1" applyAlignment="1" applyProtection="1">
      <alignment horizontal="center" vertical="top"/>
    </xf>
    <xf numFmtId="0" fontId="12" fillId="0" borderId="17" xfId="0" applyFont="1" applyFill="1" applyBorder="1" applyAlignment="1">
      <alignment horizontal="center" vertical="top"/>
    </xf>
    <xf numFmtId="0" fontId="12" fillId="0" borderId="17" xfId="0" applyFont="1" applyFill="1" applyBorder="1" applyAlignment="1">
      <alignment horizontal="left" vertical="top" wrapText="1"/>
    </xf>
    <xf numFmtId="10" fontId="12" fillId="0" borderId="17" xfId="3" applyNumberFormat="1" applyFont="1" applyFill="1" applyBorder="1" applyAlignment="1" applyProtection="1">
      <alignment horizontal="center" vertical="top"/>
    </xf>
    <xf numFmtId="0" fontId="12" fillId="0" borderId="17" xfId="0" applyFont="1" applyFill="1" applyBorder="1" applyAlignment="1">
      <alignment horizontal="center" vertical="center" wrapText="1"/>
    </xf>
    <xf numFmtId="0" fontId="12" fillId="0" borderId="16" xfId="0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center" vertical="center" wrapText="1"/>
    </xf>
    <xf numFmtId="4" fontId="14" fillId="0" borderId="17" xfId="1" applyNumberFormat="1" applyFont="1" applyFill="1" applyBorder="1" applyAlignment="1" applyProtection="1">
      <alignment horizontal="center" vertical="center" wrapText="1"/>
    </xf>
    <xf numFmtId="4" fontId="14" fillId="0" borderId="16" xfId="1" applyNumberFormat="1" applyFont="1" applyFill="1" applyBorder="1" applyAlignment="1" applyProtection="1">
      <alignment horizontal="center" vertical="center" wrapText="1"/>
    </xf>
    <xf numFmtId="166" fontId="12" fillId="0" borderId="17" xfId="2" applyFont="1" applyFill="1" applyBorder="1" applyAlignment="1" applyProtection="1">
      <alignment horizontal="center" vertical="top"/>
    </xf>
    <xf numFmtId="164" fontId="15" fillId="0" borderId="0" xfId="1" applyFont="1" applyBorder="1" applyAlignment="1" applyProtection="1">
      <alignment horizontal="right" vertical="center"/>
    </xf>
    <xf numFmtId="0" fontId="25" fillId="7" borderId="17" xfId="0" applyFont="1" applyFill="1" applyBorder="1" applyAlignment="1">
      <alignment horizontal="center" vertical="center"/>
    </xf>
    <xf numFmtId="0" fontId="25" fillId="7" borderId="16" xfId="0" applyFont="1" applyFill="1" applyBorder="1" applyAlignment="1">
      <alignment horizontal="center" vertical="center"/>
    </xf>
    <xf numFmtId="166" fontId="26" fillId="7" borderId="17" xfId="2" applyFont="1" applyFill="1" applyBorder="1" applyAlignment="1" applyProtection="1">
      <alignment horizontal="center" vertical="center"/>
    </xf>
    <xf numFmtId="166" fontId="26" fillId="7" borderId="16" xfId="2" applyFont="1" applyFill="1" applyBorder="1" applyAlignment="1" applyProtection="1">
      <alignment horizontal="center" vertical="center"/>
    </xf>
    <xf numFmtId="10" fontId="25" fillId="7" borderId="17" xfId="0" applyNumberFormat="1" applyFont="1" applyFill="1" applyBorder="1" applyAlignment="1">
      <alignment horizontal="center" vertical="center"/>
    </xf>
    <xf numFmtId="0" fontId="12" fillId="0" borderId="15" xfId="0" applyFont="1" applyFill="1" applyBorder="1" applyAlignment="1">
      <alignment horizontal="center" vertical="center"/>
    </xf>
    <xf numFmtId="0" fontId="12" fillId="0" borderId="16" xfId="0" applyFont="1" applyFill="1" applyBorder="1" applyAlignment="1">
      <alignment horizontal="center" vertical="center"/>
    </xf>
    <xf numFmtId="166" fontId="12" fillId="0" borderId="15" xfId="2" applyFont="1" applyFill="1" applyBorder="1" applyAlignment="1" applyProtection="1">
      <alignment horizontal="center" vertical="center"/>
    </xf>
    <xf numFmtId="166" fontId="12" fillId="0" borderId="16" xfId="2" applyFont="1" applyFill="1" applyBorder="1" applyAlignment="1" applyProtection="1">
      <alignment horizontal="center" vertical="center"/>
    </xf>
    <xf numFmtId="0" fontId="12" fillId="0" borderId="16" xfId="0" applyFont="1" applyFill="1" applyBorder="1" applyAlignment="1">
      <alignment horizontal="center" vertical="top"/>
    </xf>
    <xf numFmtId="0" fontId="12" fillId="0" borderId="16" xfId="0" applyFont="1" applyFill="1" applyBorder="1" applyAlignment="1">
      <alignment horizontal="left" vertical="top" wrapText="1"/>
    </xf>
    <xf numFmtId="166" fontId="12" fillId="0" borderId="16" xfId="2" applyFont="1" applyFill="1" applyBorder="1" applyAlignment="1" applyProtection="1">
      <alignment horizontal="center" vertical="top"/>
    </xf>
    <xf numFmtId="10" fontId="12" fillId="0" borderId="16" xfId="3" applyNumberFormat="1" applyFont="1" applyFill="1" applyBorder="1" applyAlignment="1" applyProtection="1">
      <alignment horizontal="center" vertical="top"/>
    </xf>
    <xf numFmtId="0" fontId="15" fillId="0" borderId="0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15" fillId="4" borderId="0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right" vertical="center"/>
    </xf>
    <xf numFmtId="49" fontId="12" fillId="4" borderId="8" xfId="0" applyNumberFormat="1" applyFont="1" applyFill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0" fillId="0" borderId="3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19" fillId="0" borderId="3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0" fontId="2" fillId="0" borderId="10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11" xfId="0" applyFont="1" applyBorder="1" applyAlignment="1">
      <alignment horizontal="left" vertical="top" wrapText="1"/>
    </xf>
    <xf numFmtId="49" fontId="12" fillId="4" borderId="0" xfId="0" applyNumberFormat="1" applyFont="1" applyFill="1" applyBorder="1" applyAlignment="1">
      <alignment horizontal="center" vertical="center"/>
    </xf>
    <xf numFmtId="0" fontId="17" fillId="0" borderId="0" xfId="0" applyFont="1" applyBorder="1" applyAlignment="1">
      <alignment horizontal="right" vertical="center"/>
    </xf>
    <xf numFmtId="0" fontId="17" fillId="0" borderId="13" xfId="0" applyFont="1" applyBorder="1" applyAlignment="1">
      <alignment horizontal="right" vertical="center"/>
    </xf>
    <xf numFmtId="0" fontId="2" fillId="0" borderId="7" xfId="0" applyFont="1" applyFill="1" applyBorder="1" applyAlignment="1">
      <alignment horizontal="right" vertical="center" wrapText="1"/>
    </xf>
    <xf numFmtId="0" fontId="2" fillId="0" borderId="8" xfId="0" applyFont="1" applyFill="1" applyBorder="1" applyAlignment="1">
      <alignment horizontal="right" vertical="center" wrapText="1"/>
    </xf>
    <xf numFmtId="0" fontId="2" fillId="0" borderId="10" xfId="0" applyFont="1" applyFill="1" applyBorder="1" applyAlignment="1">
      <alignment horizontal="right" vertical="center"/>
    </xf>
    <xf numFmtId="0" fontId="2" fillId="0" borderId="2" xfId="0" applyFont="1" applyFill="1" applyBorder="1" applyAlignment="1">
      <alignment horizontal="right" vertical="center"/>
    </xf>
  </cellXfs>
  <cellStyles count="5">
    <cellStyle name="Moeda" xfId="2" builtinId="4"/>
    <cellStyle name="Normal" xfId="0" builtinId="0"/>
    <cellStyle name="Normal 2" xfId="4"/>
    <cellStyle name="Porcentagem" xfId="3" builtinId="5"/>
    <cellStyle name="Vírgula" xfId="1" builtinId="3"/>
  </cellStyles>
  <dxfs count="7"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34998626667073579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3399"/>
      <color rgb="FF004274"/>
      <color rgb="FF5F9ED7"/>
      <color rgb="FF33CCFF"/>
      <color rgb="FF3399FF"/>
      <color rgb="FFDFEDE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trlProps/ctrlProp1.xml><?xml version="1.0" encoding="utf-8"?>
<formControlPr xmlns="http://schemas.microsoft.com/office/spreadsheetml/2009/9/main" objectType="CheckBox" checked="Checked" fmlaLink="#REF!" lockText="1" noThreeD="1"/>
</file>

<file path=xl/ctrlProps/ctrlProp2.xml><?xml version="1.0" encoding="utf-8"?>
<formControlPr xmlns="http://schemas.microsoft.com/office/spreadsheetml/2009/9/main" objectType="CheckBox" fmlaLink="#REF!" lockText="1" noThreeD="1"/>
</file>

<file path=xl/ctrlProps/ctrlProp3.xml><?xml version="1.0" encoding="utf-8"?>
<formControlPr xmlns="http://schemas.microsoft.com/office/spreadsheetml/2009/9/main" objectType="CheckBox" checked="Checked" fmlaLink="#REF!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800100</xdr:colOff>
      <xdr:row>44</xdr:row>
      <xdr:rowOff>48006</xdr:rowOff>
    </xdr:from>
    <xdr:to>
      <xdr:col>6</xdr:col>
      <xdr:colOff>1295400</xdr:colOff>
      <xdr:row>52</xdr:row>
      <xdr:rowOff>9907</xdr:rowOff>
    </xdr:to>
    <xdr:grpSp>
      <xdr:nvGrpSpPr>
        <xdr:cNvPr id="8" name="Grupo 7"/>
        <xdr:cNvGrpSpPr/>
      </xdr:nvGrpSpPr>
      <xdr:grpSpPr>
        <a:xfrm>
          <a:off x="1247775" y="8906256"/>
          <a:ext cx="6667500" cy="1257301"/>
          <a:chOff x="7299854" y="8391906"/>
          <a:chExt cx="6390746" cy="1257301"/>
        </a:xfrm>
      </xdr:grpSpPr>
      <xdr:sp macro="" textlink="">
        <xdr:nvSpPr>
          <xdr:cNvPr id="6" name="CaixaDeTexto 5"/>
          <xdr:cNvSpPr txBox="1"/>
        </xdr:nvSpPr>
        <xdr:spPr>
          <a:xfrm>
            <a:off x="7299854" y="8406193"/>
            <a:ext cx="3038475" cy="122872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100" b="1" i="0">
                <a:solidFill>
                  <a:schemeClr val="bg1"/>
                </a:solidFill>
                <a:effectLst/>
                <a:latin typeface="Cambria" panose="02040503050406030204" pitchFamily="18" charset="0"/>
                <a:ea typeface="Cambria" panose="02040503050406030204" pitchFamily="18" charset="0"/>
                <a:cs typeface="+mn-cs"/>
              </a:rPr>
              <a:t>Aprovação Técnica</a:t>
            </a:r>
          </a:p>
          <a:p>
            <a:pPr algn="ctr"/>
            <a:r>
              <a:rPr lang="pt-BR" sz="1100" b="1" i="0">
                <a:solidFill>
                  <a:schemeClr val="bg1"/>
                </a:solidFill>
                <a:effectLst/>
                <a:latin typeface="Cambria" panose="02040503050406030204" pitchFamily="18" charset="0"/>
                <a:ea typeface="Cambria" panose="02040503050406030204" pitchFamily="18" charset="0"/>
                <a:cs typeface="+mn-cs"/>
              </a:rPr>
              <a:t/>
            </a:r>
            <a:br>
              <a:rPr lang="pt-BR" sz="1100" b="1" i="0">
                <a:solidFill>
                  <a:schemeClr val="bg1"/>
                </a:solidFill>
                <a:effectLst/>
                <a:latin typeface="Cambria" panose="02040503050406030204" pitchFamily="18" charset="0"/>
                <a:ea typeface="Cambria" panose="02040503050406030204" pitchFamily="18" charset="0"/>
                <a:cs typeface="+mn-cs"/>
              </a:rPr>
            </a:br>
            <a:r>
              <a:rPr lang="pt-BR" sz="1100" b="1" i="0">
                <a:solidFill>
                  <a:schemeClr val="bg1"/>
                </a:solidFill>
                <a:effectLst/>
                <a:latin typeface="Cambria" panose="02040503050406030204" pitchFamily="18" charset="0"/>
                <a:ea typeface="Cambria" panose="02040503050406030204" pitchFamily="18" charset="0"/>
                <a:cs typeface="+mn-cs"/>
              </a:rPr>
              <a:t>__________________________________________</a:t>
            </a:r>
            <a:br>
              <a:rPr lang="pt-BR" sz="1100" b="1" i="0">
                <a:solidFill>
                  <a:schemeClr val="bg1"/>
                </a:solidFill>
                <a:effectLst/>
                <a:latin typeface="Cambria" panose="02040503050406030204" pitchFamily="18" charset="0"/>
                <a:ea typeface="Cambria" panose="02040503050406030204" pitchFamily="18" charset="0"/>
                <a:cs typeface="+mn-cs"/>
              </a:rPr>
            </a:br>
            <a:r>
              <a:rPr lang="pt-BR" sz="1100" b="0" i="0">
                <a:solidFill>
                  <a:schemeClr val="bg1"/>
                </a:solidFill>
                <a:effectLst/>
                <a:latin typeface="Cambria" panose="02040503050406030204" pitchFamily="18" charset="0"/>
                <a:ea typeface="Cambria" panose="02040503050406030204" pitchFamily="18" charset="0"/>
                <a:cs typeface="+mn-cs"/>
              </a:rPr>
              <a:t>Superintendente de Projetos e Operações</a:t>
            </a:r>
            <a:br>
              <a:rPr lang="pt-BR" sz="1100" b="0" i="0">
                <a:solidFill>
                  <a:schemeClr val="bg1"/>
                </a:solidFill>
                <a:effectLst/>
                <a:latin typeface="Cambria" panose="02040503050406030204" pitchFamily="18" charset="0"/>
                <a:ea typeface="Cambria" panose="02040503050406030204" pitchFamily="18" charset="0"/>
                <a:cs typeface="+mn-cs"/>
              </a:rPr>
            </a:br>
            <a:endParaRPr lang="pt-BR" sz="1100" b="0" i="0">
              <a:solidFill>
                <a:schemeClr val="bg1"/>
              </a:solidFill>
              <a:effectLst/>
              <a:latin typeface="Cambria" panose="02040503050406030204" pitchFamily="18" charset="0"/>
              <a:ea typeface="Cambria" panose="02040503050406030204" pitchFamily="18" charset="0"/>
              <a:cs typeface="+mn-cs"/>
            </a:endParaRPr>
          </a:p>
          <a:p>
            <a:pPr algn="ctr"/>
            <a:r>
              <a:rPr lang="pt-BR" sz="1100" b="0" i="0">
                <a:solidFill>
                  <a:schemeClr val="bg1"/>
                </a:solidFill>
                <a:effectLst/>
                <a:latin typeface="Cambria" panose="02040503050406030204" pitchFamily="18" charset="0"/>
                <a:ea typeface="Cambria" panose="02040503050406030204" pitchFamily="18" charset="0"/>
                <a:cs typeface="+mn-cs"/>
              </a:rPr>
              <a:t>[ CARIMBO ]</a:t>
            </a:r>
            <a:r>
              <a:rPr lang="pt-BR">
                <a:solidFill>
                  <a:schemeClr val="bg1"/>
                </a:solidFill>
                <a:latin typeface="Cambria" panose="02040503050406030204" pitchFamily="18" charset="0"/>
                <a:ea typeface="Cambria" panose="02040503050406030204" pitchFamily="18" charset="0"/>
              </a:rPr>
              <a:t> </a:t>
            </a:r>
            <a:r>
              <a:rPr lang="pt-BR">
                <a:solidFill>
                  <a:schemeClr val="bg1"/>
                </a:solidFill>
              </a:rPr>
              <a:t/>
            </a:r>
            <a:br>
              <a:rPr lang="pt-BR">
                <a:solidFill>
                  <a:schemeClr val="bg1"/>
                </a:solidFill>
              </a:rPr>
            </a:br>
            <a:r>
              <a:rPr lang="pt-BR">
                <a:solidFill>
                  <a:schemeClr val="bg1"/>
                </a:solidFill>
              </a:rPr>
              <a:t/>
            </a:r>
            <a:br>
              <a:rPr lang="pt-BR">
                <a:solidFill>
                  <a:schemeClr val="bg1"/>
                </a:solidFill>
              </a:rPr>
            </a:br>
            <a:endParaRPr lang="pt-BR" sz="1100">
              <a:solidFill>
                <a:schemeClr val="bg1"/>
              </a:solidFill>
            </a:endParaRPr>
          </a:p>
        </xdr:txBody>
      </xdr:sp>
      <xdr:sp macro="" textlink="">
        <xdr:nvSpPr>
          <xdr:cNvPr id="7" name="CaixaDeTexto 6"/>
          <xdr:cNvSpPr txBox="1"/>
        </xdr:nvSpPr>
        <xdr:spPr>
          <a:xfrm>
            <a:off x="10652125" y="8391906"/>
            <a:ext cx="3038475" cy="125730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100" b="1" i="0">
                <a:solidFill>
                  <a:schemeClr val="bg1"/>
                </a:solidFill>
                <a:effectLst/>
                <a:latin typeface="Cambria" panose="02040503050406030204" pitchFamily="18" charset="0"/>
                <a:ea typeface="Cambria" panose="02040503050406030204" pitchFamily="18" charset="0"/>
                <a:cs typeface="+mn-cs"/>
              </a:rPr>
              <a:t>Aprovação Administrativa</a:t>
            </a:r>
          </a:p>
          <a:p>
            <a:pPr algn="ctr"/>
            <a:r>
              <a:rPr lang="pt-BR" sz="1100" b="1" i="0">
                <a:solidFill>
                  <a:schemeClr val="bg1"/>
                </a:solidFill>
                <a:effectLst/>
                <a:latin typeface="Cambria" panose="02040503050406030204" pitchFamily="18" charset="0"/>
                <a:ea typeface="Cambria" panose="02040503050406030204" pitchFamily="18" charset="0"/>
                <a:cs typeface="+mn-cs"/>
              </a:rPr>
              <a:t/>
            </a:r>
            <a:br>
              <a:rPr lang="pt-BR" sz="1100" b="1" i="0">
                <a:solidFill>
                  <a:schemeClr val="bg1"/>
                </a:solidFill>
                <a:effectLst/>
                <a:latin typeface="Cambria" panose="02040503050406030204" pitchFamily="18" charset="0"/>
                <a:ea typeface="Cambria" panose="02040503050406030204" pitchFamily="18" charset="0"/>
                <a:cs typeface="+mn-cs"/>
              </a:rPr>
            </a:br>
            <a:r>
              <a:rPr lang="pt-BR" sz="1100" b="1" i="0">
                <a:solidFill>
                  <a:schemeClr val="bg1"/>
                </a:solidFill>
                <a:effectLst/>
                <a:latin typeface="Cambria" panose="02040503050406030204" pitchFamily="18" charset="0"/>
                <a:ea typeface="Cambria" panose="02040503050406030204" pitchFamily="18" charset="0"/>
                <a:cs typeface="+mn-cs"/>
              </a:rPr>
              <a:t>__________________________________________</a:t>
            </a:r>
            <a:br>
              <a:rPr lang="pt-BR" sz="1100" b="1" i="0">
                <a:solidFill>
                  <a:schemeClr val="bg1"/>
                </a:solidFill>
                <a:effectLst/>
                <a:latin typeface="Cambria" panose="02040503050406030204" pitchFamily="18" charset="0"/>
                <a:ea typeface="Cambria" panose="02040503050406030204" pitchFamily="18" charset="0"/>
                <a:cs typeface="+mn-cs"/>
              </a:rPr>
            </a:br>
            <a:r>
              <a:rPr lang="pt-BR" sz="1100" b="0" i="0">
                <a:solidFill>
                  <a:schemeClr val="bg1"/>
                </a:solidFill>
                <a:effectLst/>
                <a:latin typeface="Cambria" panose="02040503050406030204" pitchFamily="18" charset="0"/>
                <a:ea typeface="Cambria" panose="02040503050406030204" pitchFamily="18" charset="0"/>
                <a:cs typeface="+mn-cs"/>
              </a:rPr>
              <a:t>Presidente S.A.A.E.</a:t>
            </a:r>
          </a:p>
          <a:p>
            <a:pPr algn="ctr"/>
            <a:endParaRPr lang="pt-BR" sz="1100" b="0" i="0">
              <a:solidFill>
                <a:schemeClr val="bg1"/>
              </a:solidFill>
              <a:effectLst/>
              <a:latin typeface="Cambria" panose="02040503050406030204" pitchFamily="18" charset="0"/>
              <a:ea typeface="Cambria" panose="02040503050406030204" pitchFamily="18" charset="0"/>
              <a:cs typeface="+mn-cs"/>
            </a:endParaRPr>
          </a:p>
          <a:p>
            <a:pPr algn="ctr"/>
            <a:r>
              <a:rPr lang="pt-BR" sz="1100" b="0" i="0">
                <a:solidFill>
                  <a:schemeClr val="bg1"/>
                </a:solidFill>
                <a:effectLst/>
                <a:latin typeface="Cambria" panose="02040503050406030204" pitchFamily="18" charset="0"/>
                <a:ea typeface="Cambria" panose="02040503050406030204" pitchFamily="18" charset="0"/>
                <a:cs typeface="+mn-cs"/>
              </a:rPr>
              <a:t>[ CARIMBO ]</a:t>
            </a:r>
            <a:r>
              <a:rPr lang="pt-BR">
                <a:solidFill>
                  <a:schemeClr val="bg1"/>
                </a:solidFill>
                <a:latin typeface="Cambria" panose="02040503050406030204" pitchFamily="18" charset="0"/>
                <a:ea typeface="Cambria" panose="02040503050406030204" pitchFamily="18" charset="0"/>
              </a:rPr>
              <a:t> </a:t>
            </a:r>
            <a:r>
              <a:rPr lang="pt-BR">
                <a:solidFill>
                  <a:schemeClr val="bg1"/>
                </a:solidFill>
              </a:rPr>
              <a:t/>
            </a:r>
            <a:br>
              <a:rPr lang="pt-BR">
                <a:solidFill>
                  <a:schemeClr val="bg1"/>
                </a:solidFill>
              </a:rPr>
            </a:br>
            <a:r>
              <a:rPr lang="pt-BR">
                <a:solidFill>
                  <a:schemeClr val="bg1"/>
                </a:solidFill>
              </a:rPr>
              <a:t/>
            </a:r>
            <a:br>
              <a:rPr lang="pt-BR">
                <a:solidFill>
                  <a:schemeClr val="bg1"/>
                </a:solidFill>
              </a:rPr>
            </a:br>
            <a:endParaRPr lang="pt-BR" sz="1100">
              <a:solidFill>
                <a:schemeClr val="bg1"/>
              </a:solidFill>
            </a:endParaRP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1203293</xdr:colOff>
      <xdr:row>53</xdr:row>
      <xdr:rowOff>117951</xdr:rowOff>
    </xdr:from>
    <xdr:ext cx="3279424" cy="32861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CaixaDeTexto 1"/>
            <xdr:cNvSpPr txBox="1"/>
          </xdr:nvSpPr>
          <xdr:spPr>
            <a:xfrm>
              <a:off x="2089118" y="9642951"/>
              <a:ext cx="3279424" cy="32861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m:rPr>
                        <m:sty m:val="p"/>
                      </m:rPr>
                      <a:rPr lang="pt-BR" sz="1100" b="0" i="0">
                        <a:latin typeface="Cambria Math" panose="02040503050406030204" pitchFamily="18" charset="0"/>
                      </a:rPr>
                      <m:t>BDI</m:t>
                    </m:r>
                    <m:r>
                      <a:rPr lang="pt-BR" sz="1100" b="0" i="0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pt-BR" sz="11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d>
                          <m:dPr>
                            <m:ctrlPr>
                              <a:rPr lang="pt-BR" sz="1100" b="0" i="1"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r>
                              <a:rPr lang="pt-BR" sz="1100" b="0" i="0">
                                <a:latin typeface="Cambria Math" panose="02040503050406030204" pitchFamily="18" charset="0"/>
                              </a:rPr>
                              <m:t>1+</m:t>
                            </m:r>
                            <m:r>
                              <m:rPr>
                                <m:sty m:val="p"/>
                              </m:rPr>
                              <a:rPr lang="pt-BR" sz="1100" b="0" i="0">
                                <a:latin typeface="Cambria Math" panose="02040503050406030204" pitchFamily="18" charset="0"/>
                              </a:rPr>
                              <m:t>AC</m:t>
                            </m:r>
                            <m:r>
                              <a:rPr lang="pt-BR" sz="1100" b="0" i="0">
                                <a:latin typeface="Cambria Math" panose="02040503050406030204" pitchFamily="18" charset="0"/>
                              </a:rPr>
                              <m:t>+</m:t>
                            </m:r>
                            <m:r>
                              <m:rPr>
                                <m:sty m:val="p"/>
                              </m:rPr>
                              <a:rPr lang="pt-BR" sz="1100" b="0" i="0">
                                <a:latin typeface="Cambria Math" panose="02040503050406030204" pitchFamily="18" charset="0"/>
                              </a:rPr>
                              <m:t>S</m:t>
                            </m:r>
                            <m:r>
                              <a:rPr lang="pt-BR" sz="1100" b="0" i="0">
                                <a:latin typeface="Cambria Math" panose="02040503050406030204" pitchFamily="18" charset="0"/>
                              </a:rPr>
                              <m:t>+</m:t>
                            </m:r>
                            <m:r>
                              <m:rPr>
                                <m:sty m:val="p"/>
                              </m:rPr>
                              <a:rPr lang="pt-BR" sz="1100" b="0" i="0">
                                <a:latin typeface="Cambria Math" panose="02040503050406030204" pitchFamily="18" charset="0"/>
                              </a:rPr>
                              <m:t>R</m:t>
                            </m:r>
                            <m:r>
                              <a:rPr lang="pt-BR" sz="1100" b="0" i="0">
                                <a:latin typeface="Cambria Math" panose="02040503050406030204" pitchFamily="18" charset="0"/>
                              </a:rPr>
                              <m:t>+</m:t>
                            </m:r>
                            <m:r>
                              <m:rPr>
                                <m:sty m:val="p"/>
                              </m:rPr>
                              <a:rPr lang="pt-BR" sz="1100" b="0" i="0">
                                <a:latin typeface="Cambria Math" panose="02040503050406030204" pitchFamily="18" charset="0"/>
                              </a:rPr>
                              <m:t>G</m:t>
                            </m:r>
                          </m:e>
                        </m:d>
                        <m:r>
                          <a:rPr lang="pt-BR" sz="1100" b="0" i="0">
                            <a:latin typeface="Cambria Math" panose="02040503050406030204" pitchFamily="18" charset="0"/>
                          </a:rPr>
                          <m:t>∗</m:t>
                        </m:r>
                        <m:d>
                          <m:dPr>
                            <m:ctrlPr>
                              <a:rPr lang="pt-BR" sz="1100" b="0" i="1"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r>
                              <a:rPr lang="pt-BR" sz="1100" b="0" i="0">
                                <a:latin typeface="Cambria Math" panose="02040503050406030204" pitchFamily="18" charset="0"/>
                              </a:rPr>
                              <m:t>1+</m:t>
                            </m:r>
                            <m:r>
                              <m:rPr>
                                <m:sty m:val="p"/>
                              </m:rPr>
                              <a:rPr lang="pt-BR" sz="1100" b="0" i="0">
                                <a:latin typeface="Cambria Math" panose="02040503050406030204" pitchFamily="18" charset="0"/>
                              </a:rPr>
                              <m:t>DF</m:t>
                            </m:r>
                          </m:e>
                        </m:d>
                        <m:r>
                          <a:rPr lang="pt-BR" sz="1100" b="0" i="0">
                            <a:latin typeface="Cambria Math" panose="02040503050406030204" pitchFamily="18" charset="0"/>
                          </a:rPr>
                          <m:t>∗</m:t>
                        </m:r>
                        <m:d>
                          <m:dPr>
                            <m:ctrlPr>
                              <a:rPr lang="pt-BR" sz="1100" b="0" i="1"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r>
                              <a:rPr lang="pt-BR" sz="1100" b="0" i="0">
                                <a:latin typeface="Cambria Math" panose="02040503050406030204" pitchFamily="18" charset="0"/>
                              </a:rPr>
                              <m:t>1+</m:t>
                            </m:r>
                            <m:r>
                              <m:rPr>
                                <m:sty m:val="p"/>
                              </m:rPr>
                              <a:rPr lang="pt-BR" sz="1100" b="0" i="0">
                                <a:latin typeface="Cambria Math" panose="02040503050406030204" pitchFamily="18" charset="0"/>
                              </a:rPr>
                              <m:t>L</m:t>
                            </m:r>
                          </m:e>
                        </m:d>
                      </m:num>
                      <m:den>
                        <m:r>
                          <a:rPr lang="pt-BR" sz="1100" b="0" i="0">
                            <a:latin typeface="Cambria Math" panose="02040503050406030204" pitchFamily="18" charset="0"/>
                          </a:rPr>
                          <m:t>1−</m:t>
                        </m:r>
                        <m:r>
                          <m:rPr>
                            <m:sty m:val="p"/>
                          </m:rPr>
                          <a:rPr lang="pt-BR" sz="1100" b="0" i="0">
                            <a:latin typeface="Cambria Math" panose="02040503050406030204" pitchFamily="18" charset="0"/>
                          </a:rPr>
                          <m:t>CP</m:t>
                        </m:r>
                        <m:r>
                          <a:rPr lang="pt-BR" sz="1100" b="0" i="0">
                            <a:latin typeface="Cambria Math" panose="02040503050406030204" pitchFamily="18" charset="0"/>
                          </a:rPr>
                          <m:t>−</m:t>
                        </m:r>
                        <m:r>
                          <m:rPr>
                            <m:sty m:val="p"/>
                          </m:rPr>
                          <a:rPr lang="pt-BR" sz="1100" b="0" i="0">
                            <a:latin typeface="Cambria Math" panose="02040503050406030204" pitchFamily="18" charset="0"/>
                          </a:rPr>
                          <m:t>ISS</m:t>
                        </m:r>
                        <m:r>
                          <a:rPr lang="pt-BR" sz="1100" b="0" i="0">
                            <a:latin typeface="Cambria Math" panose="02040503050406030204" pitchFamily="18" charset="0"/>
                          </a:rPr>
                          <m:t>−</m:t>
                        </m:r>
                        <m:r>
                          <m:rPr>
                            <m:sty m:val="p"/>
                          </m:rPr>
                          <a:rPr lang="pt-BR" sz="1100" b="0" i="0">
                            <a:latin typeface="Cambria Math" panose="02040503050406030204" pitchFamily="18" charset="0"/>
                          </a:rPr>
                          <m:t>CRPB</m:t>
                        </m:r>
                      </m:den>
                    </m:f>
                    <m:r>
                      <a:rPr lang="pt-BR" sz="1100" b="0" i="0">
                        <a:latin typeface="Cambria Math" panose="02040503050406030204" pitchFamily="18" charset="0"/>
                      </a:rPr>
                      <m:t>−1</m:t>
                    </m:r>
                  </m:oMath>
                </m:oMathPara>
              </a14:m>
              <a:endParaRPr lang="pt-BR" sz="1100" b="0" i="0">
                <a:latin typeface="Cambria" panose="02040503050406030204" pitchFamily="18" charset="0"/>
                <a:ea typeface="Cambria" panose="02040503050406030204" pitchFamily="18" charset="0"/>
              </a:endParaRPr>
            </a:p>
          </xdr:txBody>
        </xdr:sp>
      </mc:Choice>
      <mc:Fallback xmlns="">
        <xdr:sp macro="" textlink="">
          <xdr:nvSpPr>
            <xdr:cNvPr id="2" name="CaixaDeTexto 1"/>
            <xdr:cNvSpPr txBox="1"/>
          </xdr:nvSpPr>
          <xdr:spPr>
            <a:xfrm>
              <a:off x="2089118" y="9642951"/>
              <a:ext cx="3279424" cy="32861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pt-BR" sz="1100" b="0" i="0">
                  <a:latin typeface="Cambria Math" panose="02040503050406030204" pitchFamily="18" charset="0"/>
                </a:rPr>
                <a:t>BDI=((1+AC+S+R+G)∗(1+DF)∗(1+L))/(1−CP−ISS−CRPB)−1</a:t>
              </a:r>
              <a:endParaRPr lang="pt-BR" sz="1100" b="0" i="0">
                <a:latin typeface="Cambria" panose="02040503050406030204" pitchFamily="18" charset="0"/>
                <a:ea typeface="Cambria" panose="02040503050406030204" pitchFamily="18" charset="0"/>
              </a:endParaRPr>
            </a:p>
          </xdr:txBody>
        </xdr:sp>
      </mc:Fallback>
    </mc:AlternateContent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27</xdr:row>
          <xdr:rowOff>0</xdr:rowOff>
        </xdr:from>
        <xdr:to>
          <xdr:col>0</xdr:col>
          <xdr:colOff>314325</xdr:colOff>
          <xdr:row>28</xdr:row>
          <xdr:rowOff>0</xdr:rowOff>
        </xdr:to>
        <xdr:sp macro="" textlink="">
          <xdr:nvSpPr>
            <xdr:cNvPr id="15361" name="Check Box 1" hidden="1">
              <a:extLst>
                <a:ext uri="{63B3BB69-23CF-44E3-9099-C40C66FF867C}">
                  <a14:compatExt spid="_x0000_s153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27</xdr:row>
          <xdr:rowOff>180975</xdr:rowOff>
        </xdr:from>
        <xdr:to>
          <xdr:col>0</xdr:col>
          <xdr:colOff>314325</xdr:colOff>
          <xdr:row>29</xdr:row>
          <xdr:rowOff>19050</xdr:rowOff>
        </xdr:to>
        <xdr:sp macro="" textlink="">
          <xdr:nvSpPr>
            <xdr:cNvPr id="15362" name="Check Box 2" hidden="1">
              <a:extLst>
                <a:ext uri="{63B3BB69-23CF-44E3-9099-C40C66FF867C}">
                  <a14:compatExt spid="_x0000_s153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2</xdr:col>
      <xdr:colOff>603218</xdr:colOff>
      <xdr:row>74</xdr:row>
      <xdr:rowOff>98901</xdr:rowOff>
    </xdr:from>
    <xdr:ext cx="1403461" cy="316882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CaixaDeTexto 4"/>
            <xdr:cNvSpPr txBox="1"/>
          </xdr:nvSpPr>
          <xdr:spPr>
            <a:xfrm>
              <a:off x="2870168" y="13462476"/>
              <a:ext cx="1403461" cy="31688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m:rPr>
                        <m:sty m:val="p"/>
                      </m:rPr>
                      <a:rPr lang="pt-BR" sz="1100" b="0" i="0">
                        <a:latin typeface="Cambria Math" panose="02040503050406030204" pitchFamily="18" charset="0"/>
                      </a:rPr>
                      <m:t>LDI</m:t>
                    </m:r>
                    <m:r>
                      <a:rPr lang="pt-BR" sz="1100" b="0" i="0">
                        <a:latin typeface="Cambria Math" panose="02040503050406030204" pitchFamily="18" charset="0"/>
                      </a:rPr>
                      <m:t>=</m:t>
                    </m:r>
                    <m:d>
                      <m:dPr>
                        <m:ctrlPr>
                          <a:rPr lang="pt-BR" sz="11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pt-BR" sz="1100" b="0" i="1">
                            <a:latin typeface="Cambria Math" panose="02040503050406030204" pitchFamily="18" charset="0"/>
                          </a:rPr>
                          <m:t>1+</m:t>
                        </m:r>
                        <m:r>
                          <a:rPr lang="pt-BR" sz="1100" b="0" i="1">
                            <a:latin typeface="Cambria Math" panose="02040503050406030204" pitchFamily="18" charset="0"/>
                          </a:rPr>
                          <m:t>𝐷𝐼</m:t>
                        </m:r>
                      </m:e>
                    </m:d>
                    <m:r>
                      <a:rPr lang="pt-BR" sz="1100" b="0" i="1">
                        <a:latin typeface="Cambria Math" panose="02040503050406030204" pitchFamily="18" charset="0"/>
                      </a:rPr>
                      <m:t>∗</m:t>
                    </m:r>
                    <m:f>
                      <m:fPr>
                        <m:ctrlPr>
                          <a:rPr lang="pt-BR" sz="11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pt-BR" sz="1100" b="0" i="1">
                            <a:latin typeface="Cambria Math" panose="02040503050406030204" pitchFamily="18" charset="0"/>
                          </a:rPr>
                          <m:t>1+</m:t>
                        </m:r>
                        <m:r>
                          <a:rPr lang="pt-BR" sz="1100" b="0" i="1">
                            <a:latin typeface="Cambria Math" panose="02040503050406030204" pitchFamily="18" charset="0"/>
                          </a:rPr>
                          <m:t>𝐿</m:t>
                        </m:r>
                      </m:num>
                      <m:den>
                        <m:r>
                          <a:rPr lang="pt-BR" sz="1100" b="0" i="1">
                            <a:latin typeface="Cambria Math" panose="02040503050406030204" pitchFamily="18" charset="0"/>
                          </a:rPr>
                          <m:t>1−</m:t>
                        </m:r>
                        <m:r>
                          <a:rPr lang="pt-BR" sz="1100" b="0" i="1">
                            <a:latin typeface="Cambria Math" panose="02040503050406030204" pitchFamily="18" charset="0"/>
                          </a:rPr>
                          <m:t>𝐼</m:t>
                        </m:r>
                      </m:den>
                    </m:f>
                  </m:oMath>
                </m:oMathPara>
              </a14:m>
              <a:endParaRPr lang="pt-BR" sz="1100" b="0" i="0">
                <a:latin typeface="Cambria" panose="02040503050406030204" pitchFamily="18" charset="0"/>
                <a:ea typeface="Cambria" panose="02040503050406030204" pitchFamily="18" charset="0"/>
              </a:endParaRPr>
            </a:p>
          </xdr:txBody>
        </xdr:sp>
      </mc:Choice>
      <mc:Fallback xmlns="">
        <xdr:sp macro="" textlink="">
          <xdr:nvSpPr>
            <xdr:cNvPr id="5" name="CaixaDeTexto 4"/>
            <xdr:cNvSpPr txBox="1"/>
          </xdr:nvSpPr>
          <xdr:spPr>
            <a:xfrm>
              <a:off x="2870168" y="13462476"/>
              <a:ext cx="1403461" cy="31688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pt-BR" sz="1100" b="0" i="0">
                  <a:latin typeface="Cambria Math" panose="02040503050406030204" pitchFamily="18" charset="0"/>
                </a:rPr>
                <a:t>LDI=(1+𝐷𝐼)∗(1+𝐿)/(1−𝐼)</a:t>
              </a:r>
              <a:endParaRPr lang="pt-BR" sz="1100" b="0" i="0">
                <a:latin typeface="Cambria" panose="02040503050406030204" pitchFamily="18" charset="0"/>
                <a:ea typeface="Cambria" panose="02040503050406030204" pitchFamily="18" charset="0"/>
              </a:endParaRPr>
            </a:p>
          </xdr:txBody>
        </xdr:sp>
      </mc:Fallback>
    </mc:AlternateContent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47</xdr:row>
          <xdr:rowOff>0</xdr:rowOff>
        </xdr:from>
        <xdr:to>
          <xdr:col>0</xdr:col>
          <xdr:colOff>314325</xdr:colOff>
          <xdr:row>48</xdr:row>
          <xdr:rowOff>47625</xdr:rowOff>
        </xdr:to>
        <xdr:sp macro="" textlink="">
          <xdr:nvSpPr>
            <xdr:cNvPr id="15363" name="Check Box 3" hidden="1">
              <a:extLst>
                <a:ext uri="{63B3BB69-23CF-44E3-9099-C40C66FF867C}">
                  <a14:compatExt spid="_x0000_s153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pp002/OneDrive/Engenharia_PMSA/PROJETOS/2019.003%20-%20REFORMA%20GINASIO%20MARIO%20COVAS/LICITA&#199;&#195;O_R01/PM_V3.0.5-GMC-201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DADOS"/>
      <sheetName val="NOVO"/>
      <sheetName val="BDI"/>
      <sheetName val="ORÇAMENTO"/>
      <sheetName val="CÁLCULO"/>
      <sheetName val="EVENTOS"/>
      <sheetName val="CRONO"/>
      <sheetName val="CRONOPLE"/>
      <sheetName val="PLE"/>
      <sheetName val="QCI"/>
      <sheetName val="BM"/>
      <sheetName val="RRE"/>
      <sheetName val="OFÍCIO"/>
    </sheetNames>
    <sheetDataSet>
      <sheetData sheetId="0"/>
      <sheetData sheetId="1">
        <row r="18">
          <cell r="F18" t="str">
            <v>DESONERADO</v>
          </cell>
        </row>
      </sheetData>
      <sheetData sheetId="2"/>
      <sheetData sheetId="3">
        <row r="138">
          <cell r="A138" t="str">
            <v>(SELECIONAR)</v>
          </cell>
        </row>
        <row r="139">
          <cell r="A139" t="str">
            <v>Construção e Reforma de Edifícios</v>
          </cell>
        </row>
        <row r="140">
          <cell r="A140" t="str">
            <v>Construção de Praças Urbanas, Rodovias, Ferrovias e recapeamento e pavimentação de vias urbanas</v>
          </cell>
        </row>
        <row r="141">
          <cell r="A141" t="str">
            <v>Construção de Redes de Abastecimento de Água, Coleta de Esgoto</v>
          </cell>
        </row>
        <row r="142">
          <cell r="A142" t="str">
            <v>Construção e Manutenção de Estações e Redes de Distribuição de Energia Elétrica</v>
          </cell>
        </row>
        <row r="143">
          <cell r="A143" t="str">
            <v>Obras Portuárias, Marítimas e Fluviais</v>
          </cell>
        </row>
        <row r="144">
          <cell r="A144" t="str">
            <v>Fornecimento de Materiais e Equipamentos (aquisição indireta - em conjunto com licitação de obras)</v>
          </cell>
        </row>
        <row r="145">
          <cell r="A145" t="str">
            <v>Fornecimento de Materiais e Equipamentos (aquisição direta)</v>
          </cell>
        </row>
        <row r="146">
          <cell r="A146" t="str">
            <v>Estudos e Projetos, Planos e Gerenciamento e outros correlatos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omments" Target="../comments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5"/>
  <sheetViews>
    <sheetView showGridLines="0" tabSelected="1" view="pageBreakPreview" zoomScaleNormal="100" zoomScaleSheetLayoutView="100" workbookViewId="0">
      <selection sqref="A1:B1"/>
    </sheetView>
  </sheetViews>
  <sheetFormatPr defaultRowHeight="12.75" x14ac:dyDescent="0.2"/>
  <cols>
    <col min="1" max="1" width="6.7109375" customWidth="1"/>
    <col min="2" max="2" width="10.42578125" customWidth="1"/>
    <col min="3" max="3" width="10" bestFit="1" customWidth="1"/>
    <col min="4" max="4" width="45.42578125" style="138" customWidth="1"/>
    <col min="5" max="5" width="7.85546875" customWidth="1"/>
    <col min="6" max="6" width="11.140625" bestFit="1" customWidth="1"/>
    <col min="7" max="7" width="10.28515625" bestFit="1" customWidth="1"/>
    <col min="8" max="8" width="9.7109375" customWidth="1"/>
    <col min="9" max="9" width="10.28515625" bestFit="1" customWidth="1"/>
    <col min="10" max="10" width="21" bestFit="1" customWidth="1"/>
    <col min="11" max="11" width="10.5703125" bestFit="1" customWidth="1"/>
    <col min="12" max="12" width="2.140625" customWidth="1"/>
  </cols>
  <sheetData>
    <row r="1" spans="1:12" s="3" customFormat="1" ht="86.25" customHeight="1" thickBot="1" x14ac:dyDescent="0.25">
      <c r="A1" s="194" t="s">
        <v>220</v>
      </c>
      <c r="B1" s="195"/>
      <c r="C1" s="196" t="s">
        <v>86</v>
      </c>
      <c r="D1" s="196"/>
      <c r="E1" s="196"/>
      <c r="F1" s="196"/>
      <c r="G1" s="196"/>
      <c r="H1" s="196"/>
      <c r="I1" s="196"/>
      <c r="J1" s="196"/>
      <c r="K1" s="196"/>
      <c r="L1" s="21"/>
    </row>
    <row r="2" spans="1:12" s="3" customFormat="1" ht="15" x14ac:dyDescent="0.2">
      <c r="A2" s="60"/>
      <c r="B2" s="60"/>
      <c r="C2" s="51"/>
      <c r="D2" s="51"/>
      <c r="E2" s="51"/>
      <c r="F2" s="51"/>
      <c r="G2" s="51"/>
      <c r="H2" s="51"/>
      <c r="I2" s="51"/>
      <c r="J2" s="51"/>
      <c r="K2" s="51"/>
      <c r="L2" s="21"/>
    </row>
    <row r="3" spans="1:12" s="3" customFormat="1" ht="15" customHeight="1" x14ac:dyDescent="0.2">
      <c r="A3" s="69" t="s">
        <v>59</v>
      </c>
      <c r="B3" s="70"/>
      <c r="C3" s="71"/>
      <c r="D3" s="71"/>
      <c r="E3" s="72"/>
      <c r="F3" s="74" t="s">
        <v>60</v>
      </c>
      <c r="G3" s="202" t="s">
        <v>183</v>
      </c>
      <c r="H3" s="202"/>
      <c r="I3" s="202"/>
      <c r="J3" s="202"/>
      <c r="K3" s="203"/>
      <c r="L3" s="21"/>
    </row>
    <row r="4" spans="1:12" s="3" customFormat="1" ht="15" x14ac:dyDescent="0.2">
      <c r="A4" s="199" t="s">
        <v>139</v>
      </c>
      <c r="B4" s="200"/>
      <c r="C4" s="200"/>
      <c r="D4" s="200"/>
      <c r="E4" s="201"/>
      <c r="F4" s="75"/>
      <c r="G4" s="204"/>
      <c r="H4" s="204"/>
      <c r="I4" s="204"/>
      <c r="J4" s="204"/>
      <c r="K4" s="205"/>
      <c r="L4" s="21"/>
    </row>
    <row r="5" spans="1:12" s="3" customFormat="1" ht="7.5" customHeight="1" x14ac:dyDescent="0.2">
      <c r="A5" s="70"/>
      <c r="B5" s="70"/>
      <c r="C5" s="71"/>
      <c r="D5" s="71"/>
      <c r="E5" s="71"/>
      <c r="F5" s="71"/>
      <c r="G5" s="71"/>
      <c r="H5" s="71"/>
      <c r="I5" s="71"/>
      <c r="J5" s="71"/>
      <c r="K5" s="71"/>
      <c r="L5" s="21"/>
    </row>
    <row r="6" spans="1:12" s="3" customFormat="1" ht="15" x14ac:dyDescent="0.2">
      <c r="A6" s="69" t="s">
        <v>61</v>
      </c>
      <c r="B6" s="70"/>
      <c r="C6" s="71"/>
      <c r="D6" s="71"/>
      <c r="E6" s="71"/>
      <c r="F6" s="78" t="s">
        <v>62</v>
      </c>
      <c r="G6" s="78" t="s">
        <v>63</v>
      </c>
      <c r="H6" s="79" t="s">
        <v>67</v>
      </c>
      <c r="I6" s="185" t="s">
        <v>64</v>
      </c>
      <c r="J6" s="73" t="s">
        <v>66</v>
      </c>
      <c r="K6" s="73" t="s">
        <v>65</v>
      </c>
      <c r="L6" s="21"/>
    </row>
    <row r="7" spans="1:12" s="3" customFormat="1" ht="15" x14ac:dyDescent="0.2">
      <c r="A7" s="199" t="s">
        <v>89</v>
      </c>
      <c r="B7" s="200"/>
      <c r="C7" s="200"/>
      <c r="D7" s="200"/>
      <c r="E7" s="200"/>
      <c r="F7" s="81">
        <f>BDI!D28</f>
        <v>0.23599999999999999</v>
      </c>
      <c r="G7" s="81">
        <f>BDI!D48</f>
        <v>0.14299999999999999</v>
      </c>
      <c r="H7" s="82">
        <f>BDI!D72</f>
        <v>0.28000000000000003</v>
      </c>
      <c r="I7" s="82" t="s">
        <v>68</v>
      </c>
      <c r="J7" s="77">
        <v>45413</v>
      </c>
      <c r="K7" s="76" t="s">
        <v>219</v>
      </c>
      <c r="L7" s="21"/>
    </row>
    <row r="8" spans="1:12" s="3" customFormat="1" ht="15" customHeight="1" x14ac:dyDescent="0.2">
      <c r="A8" s="70"/>
      <c r="B8" s="70"/>
      <c r="C8" s="71"/>
      <c r="D8" s="71"/>
      <c r="E8" s="71"/>
      <c r="F8" s="71"/>
      <c r="G8" s="71"/>
      <c r="H8" s="71"/>
      <c r="I8" s="71"/>
      <c r="J8" s="71"/>
      <c r="K8" s="71"/>
      <c r="L8" s="21"/>
    </row>
    <row r="9" spans="1:12" s="4" customFormat="1" ht="54.95" customHeight="1" x14ac:dyDescent="0.2">
      <c r="A9" s="93" t="s">
        <v>0</v>
      </c>
      <c r="B9" s="93" t="s">
        <v>171</v>
      </c>
      <c r="C9" s="93" t="s">
        <v>170</v>
      </c>
      <c r="D9" s="188" t="s">
        <v>1</v>
      </c>
      <c r="E9" s="93" t="s">
        <v>5</v>
      </c>
      <c r="F9" s="94" t="s">
        <v>2</v>
      </c>
      <c r="G9" s="94" t="s">
        <v>12</v>
      </c>
      <c r="H9" s="94" t="s">
        <v>39</v>
      </c>
      <c r="I9" s="94" t="s">
        <v>13</v>
      </c>
      <c r="J9" s="94" t="s">
        <v>21</v>
      </c>
      <c r="K9" s="95" t="s">
        <v>3</v>
      </c>
      <c r="L9" s="22"/>
    </row>
    <row r="10" spans="1:12" s="106" customFormat="1" ht="30" customHeight="1" x14ac:dyDescent="0.2">
      <c r="A10" s="143" t="s">
        <v>11</v>
      </c>
      <c r="B10" s="144"/>
      <c r="C10" s="145"/>
      <c r="D10" s="146" t="s">
        <v>90</v>
      </c>
      <c r="E10" s="147"/>
      <c r="F10" s="148"/>
      <c r="G10" s="148"/>
      <c r="H10" s="148"/>
      <c r="I10" s="148" t="s">
        <v>23</v>
      </c>
      <c r="J10" s="149">
        <f>SUM(J11:J13)</f>
        <v>0</v>
      </c>
      <c r="K10" s="150" t="e">
        <f>J10/$J$62</f>
        <v>#DIV/0!</v>
      </c>
      <c r="L10" s="105"/>
    </row>
    <row r="11" spans="1:12" s="5" customFormat="1" ht="38.25" x14ac:dyDescent="0.2">
      <c r="A11" s="96" t="s">
        <v>91</v>
      </c>
      <c r="B11" s="97" t="s">
        <v>6</v>
      </c>
      <c r="C11" s="98" t="s">
        <v>49</v>
      </c>
      <c r="D11" s="99" t="s">
        <v>50</v>
      </c>
      <c r="E11" s="100" t="s">
        <v>15</v>
      </c>
      <c r="F11" s="101">
        <v>2.5</v>
      </c>
      <c r="G11" s="102"/>
      <c r="H11" s="103" t="s">
        <v>62</v>
      </c>
      <c r="I11" s="101">
        <f>TRUNC(G11*(1+HLOOKUP(H11,$F$6:$I$7,2,FALSE)),2)</f>
        <v>0</v>
      </c>
      <c r="J11" s="101">
        <f>TRUNC(F11*I11,2)</f>
        <v>0</v>
      </c>
      <c r="K11" s="104"/>
      <c r="L11" s="23"/>
    </row>
    <row r="12" spans="1:12" s="5" customFormat="1" ht="25.5" x14ac:dyDescent="0.2">
      <c r="A12" s="96" t="s">
        <v>94</v>
      </c>
      <c r="B12" s="97" t="s">
        <v>6</v>
      </c>
      <c r="C12" s="98" t="s">
        <v>143</v>
      </c>
      <c r="D12" s="99" t="str">
        <f>UPPER("Locação de container tipo depósito - área mínima de 13,80 m²")</f>
        <v>LOCAÇÃO DE CONTAINER TIPO DEPÓSITO - ÁREA MÍNIMA DE 13,80 M²</v>
      </c>
      <c r="E12" s="100" t="s">
        <v>142</v>
      </c>
      <c r="F12" s="101">
        <v>4</v>
      </c>
      <c r="G12" s="37"/>
      <c r="H12" s="103" t="s">
        <v>62</v>
      </c>
      <c r="I12" s="101">
        <f t="shared" ref="I12" si="0">TRUNC(G12*(1+HLOOKUP(H12,$F$6:$I$7,2,FALSE)),2)</f>
        <v>0</v>
      </c>
      <c r="J12" s="101">
        <f>TRUNC(F12*I12,2)</f>
        <v>0</v>
      </c>
      <c r="K12" s="104"/>
      <c r="L12" s="23"/>
    </row>
    <row r="13" spans="1:12" s="5" customFormat="1" ht="38.25" x14ac:dyDescent="0.2">
      <c r="A13" s="96" t="s">
        <v>95</v>
      </c>
      <c r="B13" s="97" t="s">
        <v>22</v>
      </c>
      <c r="C13" s="98">
        <v>70020005</v>
      </c>
      <c r="D13" s="99" t="s">
        <v>141</v>
      </c>
      <c r="E13" s="35" t="s">
        <v>19</v>
      </c>
      <c r="F13" s="36">
        <v>50</v>
      </c>
      <c r="G13" s="37"/>
      <c r="H13" s="80" t="s">
        <v>67</v>
      </c>
      <c r="I13" s="36">
        <f t="shared" ref="I13" si="1">TRUNC(G13*(1+HLOOKUP(H13,$F$6:$I$7,2,FALSE)),2)</f>
        <v>0</v>
      </c>
      <c r="J13" s="36">
        <f t="shared" ref="J13" si="2">TRUNC(F13*I13,2)</f>
        <v>0</v>
      </c>
      <c r="K13" s="52"/>
      <c r="L13" s="23"/>
    </row>
    <row r="14" spans="1:12" s="5" customFormat="1" ht="30" customHeight="1" x14ac:dyDescent="0.2">
      <c r="A14" s="143" t="s">
        <v>17</v>
      </c>
      <c r="B14" s="144"/>
      <c r="C14" s="145"/>
      <c r="D14" s="146" t="s">
        <v>128</v>
      </c>
      <c r="E14" s="147"/>
      <c r="F14" s="148"/>
      <c r="G14" s="148"/>
      <c r="H14" s="148"/>
      <c r="I14" s="148" t="s">
        <v>23</v>
      </c>
      <c r="J14" s="149">
        <f>SUM(J15:J17)</f>
        <v>0</v>
      </c>
      <c r="K14" s="150" t="e">
        <f>J14/$J$62</f>
        <v>#DIV/0!</v>
      </c>
      <c r="L14" s="23"/>
    </row>
    <row r="15" spans="1:12" s="5" customFormat="1" ht="38.25" x14ac:dyDescent="0.2">
      <c r="A15" s="39" t="s">
        <v>99</v>
      </c>
      <c r="B15" s="32" t="s">
        <v>167</v>
      </c>
      <c r="C15" s="33" t="s">
        <v>168</v>
      </c>
      <c r="D15" s="34" t="s">
        <v>169</v>
      </c>
      <c r="E15" s="100" t="s">
        <v>85</v>
      </c>
      <c r="F15" s="36">
        <v>4</v>
      </c>
      <c r="G15" s="37"/>
      <c r="H15" s="80" t="s">
        <v>62</v>
      </c>
      <c r="I15" s="36">
        <f t="shared" ref="I15" si="3">TRUNC(G15*(1+HLOOKUP(H15,$F$6:$I$7,2,FALSE)),2)</f>
        <v>0</v>
      </c>
      <c r="J15" s="36">
        <f t="shared" ref="J15" si="4">TRUNC(F15*I15,2)</f>
        <v>0</v>
      </c>
      <c r="K15" s="52"/>
      <c r="L15" s="23"/>
    </row>
    <row r="16" spans="1:12" s="5" customFormat="1" ht="25.5" x14ac:dyDescent="0.2">
      <c r="A16" s="39" t="s">
        <v>93</v>
      </c>
      <c r="B16" s="32" t="s">
        <v>6</v>
      </c>
      <c r="C16" s="33" t="s">
        <v>124</v>
      </c>
      <c r="D16" s="34" t="str">
        <f>UPPER("Andaime tubular fachadeiro com piso metálico e sapatas ajustáveis")</f>
        <v>ANDAIME TUBULAR FACHADEIRO COM PISO METÁLICO E SAPATAS AJUSTÁVEIS</v>
      </c>
      <c r="E16" s="35" t="s">
        <v>125</v>
      </c>
      <c r="F16" s="36">
        <v>124.8</v>
      </c>
      <c r="G16" s="37"/>
      <c r="H16" s="80" t="s">
        <v>62</v>
      </c>
      <c r="I16" s="36">
        <f t="shared" ref="I16:I17" si="5">TRUNC(G16*(1+HLOOKUP(H16,$F$6:$I$7,2,FALSE)),2)</f>
        <v>0</v>
      </c>
      <c r="J16" s="36">
        <f t="shared" ref="J16:J17" si="6">TRUNC(F16*I16,2)</f>
        <v>0</v>
      </c>
      <c r="K16" s="52"/>
      <c r="L16" s="23"/>
    </row>
    <row r="17" spans="1:12" s="5" customFormat="1" ht="25.5" x14ac:dyDescent="0.2">
      <c r="A17" s="39" t="s">
        <v>101</v>
      </c>
      <c r="B17" s="32" t="s">
        <v>6</v>
      </c>
      <c r="C17" s="33" t="s">
        <v>127</v>
      </c>
      <c r="D17" s="34" t="str">
        <f>UPPER("Montagem e desmontagem de andaime tubular fachadeiro com altura até 10 m")</f>
        <v>MONTAGEM E DESMONTAGEM DE ANDAIME TUBULAR FACHADEIRO COM ALTURA ATÉ 10 M</v>
      </c>
      <c r="E17" s="100" t="s">
        <v>15</v>
      </c>
      <c r="F17" s="36">
        <v>41.6</v>
      </c>
      <c r="G17" s="37"/>
      <c r="H17" s="80" t="s">
        <v>62</v>
      </c>
      <c r="I17" s="36">
        <f t="shared" si="5"/>
        <v>0</v>
      </c>
      <c r="J17" s="36">
        <f t="shared" si="6"/>
        <v>0</v>
      </c>
      <c r="K17" s="52"/>
      <c r="L17" s="23"/>
    </row>
    <row r="18" spans="1:12" s="106" customFormat="1" ht="30" customHeight="1" x14ac:dyDescent="0.2">
      <c r="A18" s="143" t="s">
        <v>18</v>
      </c>
      <c r="B18" s="144"/>
      <c r="C18" s="145"/>
      <c r="D18" s="146" t="s">
        <v>103</v>
      </c>
      <c r="E18" s="147"/>
      <c r="F18" s="148"/>
      <c r="G18" s="148"/>
      <c r="H18" s="148"/>
      <c r="I18" s="148" t="s">
        <v>23</v>
      </c>
      <c r="J18" s="149">
        <f>SUM(J19:J24)</f>
        <v>0</v>
      </c>
      <c r="K18" s="150" t="e">
        <f>J18/$J$62</f>
        <v>#DIV/0!</v>
      </c>
      <c r="L18" s="105"/>
    </row>
    <row r="19" spans="1:12" s="5" customFormat="1" ht="38.25" x14ac:dyDescent="0.2">
      <c r="A19" s="39" t="s">
        <v>97</v>
      </c>
      <c r="B19" s="32" t="s">
        <v>6</v>
      </c>
      <c r="C19" s="33" t="s">
        <v>146</v>
      </c>
      <c r="D19" s="34" t="s">
        <v>147</v>
      </c>
      <c r="E19" s="35" t="s">
        <v>20</v>
      </c>
      <c r="F19" s="36">
        <v>6.24</v>
      </c>
      <c r="G19" s="37"/>
      <c r="H19" s="80" t="s">
        <v>62</v>
      </c>
      <c r="I19" s="36">
        <f t="shared" ref="I19:I24" si="7">TRUNC(G19*(1+HLOOKUP(H19,$F$6:$I$7,2,FALSE)),2)</f>
        <v>0</v>
      </c>
      <c r="J19" s="36">
        <f t="shared" ref="J19:J24" si="8">TRUNC(F19*I19,2)</f>
        <v>0</v>
      </c>
      <c r="K19" s="52"/>
      <c r="L19" s="23"/>
    </row>
    <row r="20" spans="1:12" s="5" customFormat="1" ht="76.5" x14ac:dyDescent="0.2">
      <c r="A20" s="39" t="s">
        <v>98</v>
      </c>
      <c r="B20" s="32" t="s">
        <v>6</v>
      </c>
      <c r="C20" s="33" t="s">
        <v>96</v>
      </c>
      <c r="D20" s="34" t="s">
        <v>185</v>
      </c>
      <c r="E20" s="35" t="s">
        <v>20</v>
      </c>
      <c r="F20" s="36">
        <v>4.2</v>
      </c>
      <c r="G20" s="37"/>
      <c r="H20" s="80" t="s">
        <v>62</v>
      </c>
      <c r="I20" s="36">
        <f t="shared" ref="I20:I21" si="9">TRUNC(G20*(1+HLOOKUP(H20,$F$6:$I$7,2,FALSE)),2)</f>
        <v>0</v>
      </c>
      <c r="J20" s="36">
        <f t="shared" ref="J20:J21" si="10">TRUNC(F20*I20,2)</f>
        <v>0</v>
      </c>
      <c r="K20" s="52"/>
      <c r="L20" s="23"/>
    </row>
    <row r="21" spans="1:12" s="5" customFormat="1" ht="51" x14ac:dyDescent="0.2">
      <c r="A21" s="39" t="s">
        <v>92</v>
      </c>
      <c r="B21" s="32" t="s">
        <v>4</v>
      </c>
      <c r="C21" s="33">
        <v>97631</v>
      </c>
      <c r="D21" s="34" t="s">
        <v>132</v>
      </c>
      <c r="E21" s="35" t="s">
        <v>15</v>
      </c>
      <c r="F21" s="36">
        <v>157.52000000000001</v>
      </c>
      <c r="G21" s="37"/>
      <c r="H21" s="80" t="s">
        <v>62</v>
      </c>
      <c r="I21" s="36">
        <f t="shared" si="9"/>
        <v>0</v>
      </c>
      <c r="J21" s="36">
        <f t="shared" si="10"/>
        <v>0</v>
      </c>
      <c r="K21" s="52"/>
      <c r="L21" s="23"/>
    </row>
    <row r="22" spans="1:12" s="5" customFormat="1" ht="15.75" x14ac:dyDescent="0.2">
      <c r="A22" s="39" t="s">
        <v>130</v>
      </c>
      <c r="B22" s="32" t="s">
        <v>4</v>
      </c>
      <c r="C22" s="33">
        <v>98524</v>
      </c>
      <c r="D22" s="186" t="s">
        <v>157</v>
      </c>
      <c r="E22" s="35" t="s">
        <v>15</v>
      </c>
      <c r="F22" s="36">
        <v>49.6</v>
      </c>
      <c r="G22" s="37"/>
      <c r="H22" s="80" t="s">
        <v>62</v>
      </c>
      <c r="I22" s="36">
        <f t="shared" ref="I22" si="11">TRUNC(G22*(1+HLOOKUP(H22,$F$6:$I$7,2,FALSE)),2)</f>
        <v>0</v>
      </c>
      <c r="J22" s="36">
        <f t="shared" ref="J22" si="12">TRUNC(F22*I22,2)</f>
        <v>0</v>
      </c>
      <c r="K22" s="52"/>
      <c r="L22" s="23"/>
    </row>
    <row r="23" spans="1:12" s="5" customFormat="1" ht="38.25" x14ac:dyDescent="0.2">
      <c r="A23" s="39" t="s">
        <v>144</v>
      </c>
      <c r="B23" s="32" t="s">
        <v>6</v>
      </c>
      <c r="C23" s="33" t="s">
        <v>145</v>
      </c>
      <c r="D23" s="34" t="str">
        <f>UPPER("Transporte manual horizontal e/ou vertical de entulho até o local de despejo - ensacado")</f>
        <v>TRANSPORTE MANUAL HORIZONTAL E/OU VERTICAL DE ENTULHO ATÉ O LOCAL DE DESPEJO - ENSACADO</v>
      </c>
      <c r="E23" s="35" t="s">
        <v>20</v>
      </c>
      <c r="F23" s="36">
        <v>48.61</v>
      </c>
      <c r="G23" s="37"/>
      <c r="H23" s="80" t="s">
        <v>62</v>
      </c>
      <c r="I23" s="36">
        <f t="shared" ref="I23" si="13">TRUNC(G23*(1+HLOOKUP(H23,$F$6:$I$7,2,FALSE)),2)</f>
        <v>0</v>
      </c>
      <c r="J23" s="36">
        <f t="shared" ref="J23" si="14">TRUNC(F23*I23,2)</f>
        <v>0</v>
      </c>
      <c r="K23" s="52"/>
      <c r="L23" s="23"/>
    </row>
    <row r="24" spans="1:12" s="5" customFormat="1" ht="51" x14ac:dyDescent="0.2">
      <c r="A24" s="39" t="s">
        <v>156</v>
      </c>
      <c r="B24" s="32" t="s">
        <v>6</v>
      </c>
      <c r="C24" s="33" t="s">
        <v>131</v>
      </c>
      <c r="D24" s="34" t="str">
        <f>UPPER("Remoção de entulho separado de obra com caçamba metálica - terra, alvenaria, concreto, argamassa, madeira, papel, plástico ou metal")</f>
        <v>REMOÇÃO DE ENTULHO SEPARADO DE OBRA COM CAÇAMBA METÁLICA - TERRA, ALVENARIA, CONCRETO, ARGAMASSA, MADEIRA, PAPEL, PLÁSTICO OU METAL</v>
      </c>
      <c r="E24" s="35" t="s">
        <v>20</v>
      </c>
      <c r="F24" s="36">
        <v>48.61</v>
      </c>
      <c r="G24" s="37"/>
      <c r="H24" s="80" t="s">
        <v>62</v>
      </c>
      <c r="I24" s="36">
        <f t="shared" si="7"/>
        <v>0</v>
      </c>
      <c r="J24" s="36">
        <f t="shared" si="8"/>
        <v>0</v>
      </c>
      <c r="K24" s="52"/>
      <c r="L24" s="23"/>
    </row>
    <row r="25" spans="1:12" s="108" customFormat="1" ht="30" customHeight="1" x14ac:dyDescent="0.2">
      <c r="A25" s="143" t="s">
        <v>104</v>
      </c>
      <c r="B25" s="144"/>
      <c r="C25" s="145"/>
      <c r="D25" s="146" t="s">
        <v>105</v>
      </c>
      <c r="E25" s="147"/>
      <c r="F25" s="148"/>
      <c r="G25" s="148"/>
      <c r="H25" s="148"/>
      <c r="I25" s="148"/>
      <c r="J25" s="149">
        <f>SUM(J26:J46)</f>
        <v>0</v>
      </c>
      <c r="K25" s="150" t="e">
        <f>J25/$J$62</f>
        <v>#DIV/0!</v>
      </c>
      <c r="L25" s="107"/>
    </row>
    <row r="26" spans="1:12" s="5" customFormat="1" ht="25.5" x14ac:dyDescent="0.2">
      <c r="A26" s="141" t="s">
        <v>106</v>
      </c>
      <c r="B26" s="110" t="s">
        <v>6</v>
      </c>
      <c r="C26" s="151" t="s">
        <v>184</v>
      </c>
      <c r="D26" s="154" t="s">
        <v>214</v>
      </c>
      <c r="E26" s="152" t="s">
        <v>52</v>
      </c>
      <c r="F26" s="111">
        <v>1</v>
      </c>
      <c r="G26" s="112"/>
      <c r="H26" s="139" t="s">
        <v>62</v>
      </c>
      <c r="I26" s="111">
        <f t="shared" ref="I26:I27" si="15">TRUNC(G26*(1+HLOOKUP(H26,$F$6:$I$7,2,FALSE)),2)</f>
        <v>0</v>
      </c>
      <c r="J26" s="111">
        <f t="shared" ref="J26" si="16">TRUNC(F26*I26,2)</f>
        <v>0</v>
      </c>
      <c r="K26" s="153"/>
      <c r="L26" s="23"/>
    </row>
    <row r="27" spans="1:12" s="5" customFormat="1" ht="15.75" x14ac:dyDescent="0.2">
      <c r="A27" s="176" t="s">
        <v>107</v>
      </c>
      <c r="B27" s="97" t="s">
        <v>22</v>
      </c>
      <c r="C27" s="181">
        <v>70010008</v>
      </c>
      <c r="D27" s="182" t="s">
        <v>195</v>
      </c>
      <c r="E27" s="177" t="s">
        <v>140</v>
      </c>
      <c r="F27" s="102">
        <v>1</v>
      </c>
      <c r="G27" s="37"/>
      <c r="H27" s="103" t="s">
        <v>67</v>
      </c>
      <c r="I27" s="102">
        <f t="shared" si="15"/>
        <v>0</v>
      </c>
      <c r="J27" s="102">
        <f>TRUNC(F27*I27,2)</f>
        <v>0</v>
      </c>
      <c r="K27" s="189"/>
      <c r="L27" s="23"/>
    </row>
    <row r="28" spans="1:12" s="5" customFormat="1" ht="25.5" x14ac:dyDescent="0.2">
      <c r="A28" s="96" t="s">
        <v>116</v>
      </c>
      <c r="B28" s="32" t="s">
        <v>6</v>
      </c>
      <c r="C28" s="122" t="s">
        <v>100</v>
      </c>
      <c r="D28" s="34" t="s">
        <v>148</v>
      </c>
      <c r="E28" s="35" t="s">
        <v>15</v>
      </c>
      <c r="F28" s="36">
        <v>92</v>
      </c>
      <c r="G28" s="37"/>
      <c r="H28" s="80" t="s">
        <v>62</v>
      </c>
      <c r="I28" s="36">
        <f t="shared" ref="I28:I30" si="17">TRUNC(G28*(1+HLOOKUP(H28,$F$6:$I$7,2,FALSE)),2)</f>
        <v>0</v>
      </c>
      <c r="J28" s="36">
        <f t="shared" ref="J28:J30" si="18">TRUNC(F28*I28,2)</f>
        <v>0</v>
      </c>
      <c r="K28" s="52"/>
      <c r="L28" s="23"/>
    </row>
    <row r="29" spans="1:12" s="5" customFormat="1" ht="51" x14ac:dyDescent="0.2">
      <c r="A29" s="96" t="s">
        <v>117</v>
      </c>
      <c r="B29" s="32" t="s">
        <v>4</v>
      </c>
      <c r="C29" s="122">
        <v>92446</v>
      </c>
      <c r="D29" s="34" t="s">
        <v>149</v>
      </c>
      <c r="E29" s="35" t="s">
        <v>15</v>
      </c>
      <c r="F29" s="36">
        <v>84.24</v>
      </c>
      <c r="G29" s="37"/>
      <c r="H29" s="80" t="s">
        <v>62</v>
      </c>
      <c r="I29" s="36">
        <f t="shared" si="17"/>
        <v>0</v>
      </c>
      <c r="J29" s="36">
        <f t="shared" si="18"/>
        <v>0</v>
      </c>
      <c r="K29" s="52"/>
      <c r="L29" s="23"/>
    </row>
    <row r="30" spans="1:12" s="5" customFormat="1" ht="25.5" x14ac:dyDescent="0.2">
      <c r="A30" s="96" t="s">
        <v>118</v>
      </c>
      <c r="B30" s="32" t="s">
        <v>22</v>
      </c>
      <c r="C30" s="122">
        <v>70070131</v>
      </c>
      <c r="D30" s="34" t="s">
        <v>150</v>
      </c>
      <c r="E30" s="35" t="s">
        <v>15</v>
      </c>
      <c r="F30" s="36">
        <v>80.58</v>
      </c>
      <c r="G30" s="37"/>
      <c r="H30" s="80" t="s">
        <v>67</v>
      </c>
      <c r="I30" s="36">
        <f t="shared" si="17"/>
        <v>0</v>
      </c>
      <c r="J30" s="36">
        <f t="shared" si="18"/>
        <v>0</v>
      </c>
      <c r="K30" s="52"/>
      <c r="L30" s="23"/>
    </row>
    <row r="31" spans="1:12" s="5" customFormat="1" ht="25.5" x14ac:dyDescent="0.2">
      <c r="A31" s="96" t="s">
        <v>119</v>
      </c>
      <c r="B31" s="32" t="s">
        <v>6</v>
      </c>
      <c r="C31" s="122" t="s">
        <v>152</v>
      </c>
      <c r="D31" s="34" t="s">
        <v>153</v>
      </c>
      <c r="E31" s="35" t="s">
        <v>16</v>
      </c>
      <c r="F31" s="36">
        <v>157</v>
      </c>
      <c r="G31" s="37"/>
      <c r="H31" s="80" t="s">
        <v>62</v>
      </c>
      <c r="I31" s="36">
        <f t="shared" ref="I31:I32" si="19">TRUNC(G31*(1+HLOOKUP(H31,$F$6:$I$7,2,FALSE)),2)</f>
        <v>0</v>
      </c>
      <c r="J31" s="36">
        <f t="shared" ref="J31:J32" si="20">TRUNC(F31*I31,2)</f>
        <v>0</v>
      </c>
      <c r="K31" s="52"/>
      <c r="L31" s="23"/>
    </row>
    <row r="32" spans="1:12" s="5" customFormat="1" ht="25.5" x14ac:dyDescent="0.2">
      <c r="A32" s="96" t="s">
        <v>120</v>
      </c>
      <c r="B32" s="32" t="s">
        <v>6</v>
      </c>
      <c r="C32" s="122" t="s">
        <v>151</v>
      </c>
      <c r="D32" s="34" t="s">
        <v>154</v>
      </c>
      <c r="E32" s="35" t="s">
        <v>16</v>
      </c>
      <c r="F32" s="36">
        <v>2541.6999999999998</v>
      </c>
      <c r="G32" s="37"/>
      <c r="H32" s="80" t="s">
        <v>62</v>
      </c>
      <c r="I32" s="36">
        <f t="shared" si="19"/>
        <v>0</v>
      </c>
      <c r="J32" s="36">
        <f t="shared" si="20"/>
        <v>0</v>
      </c>
      <c r="K32" s="52"/>
      <c r="L32" s="23"/>
    </row>
    <row r="33" spans="1:12" s="180" customFormat="1" ht="63.75" x14ac:dyDescent="0.2">
      <c r="A33" s="96" t="s">
        <v>196</v>
      </c>
      <c r="B33" s="32" t="s">
        <v>22</v>
      </c>
      <c r="C33" s="122">
        <v>70070301</v>
      </c>
      <c r="D33" s="123" t="s">
        <v>83</v>
      </c>
      <c r="E33" s="174" t="s">
        <v>20</v>
      </c>
      <c r="F33" s="37">
        <v>21.4</v>
      </c>
      <c r="G33" s="37"/>
      <c r="H33" s="80" t="s">
        <v>67</v>
      </c>
      <c r="I33" s="37">
        <f t="shared" ref="I33:I34" si="21">TRUNC(G33*(1+HLOOKUP(H33,$F$6:$I$7,2,FALSE)),2)</f>
        <v>0</v>
      </c>
      <c r="J33" s="37">
        <f t="shared" ref="J33:J34" si="22">TRUNC(F33*I33,2)</f>
        <v>0</v>
      </c>
      <c r="K33" s="175"/>
      <c r="L33" s="179"/>
    </row>
    <row r="34" spans="1:12" s="5" customFormat="1" ht="25.5" x14ac:dyDescent="0.2">
      <c r="A34" s="96" t="s">
        <v>197</v>
      </c>
      <c r="B34" s="32" t="s">
        <v>6</v>
      </c>
      <c r="C34" s="33" t="s">
        <v>159</v>
      </c>
      <c r="D34" s="34" t="s">
        <v>160</v>
      </c>
      <c r="E34" s="35" t="s">
        <v>20</v>
      </c>
      <c r="F34" s="36">
        <v>6.66</v>
      </c>
      <c r="G34" s="37"/>
      <c r="H34" s="80" t="s">
        <v>62</v>
      </c>
      <c r="I34" s="36">
        <f t="shared" si="21"/>
        <v>0</v>
      </c>
      <c r="J34" s="36">
        <f t="shared" si="22"/>
        <v>0</v>
      </c>
      <c r="K34" s="175"/>
      <c r="L34" s="23"/>
    </row>
    <row r="35" spans="1:12" s="5" customFormat="1" ht="38.25" x14ac:dyDescent="0.2">
      <c r="A35" s="96" t="s">
        <v>198</v>
      </c>
      <c r="B35" s="32" t="s">
        <v>6</v>
      </c>
      <c r="C35" s="33" t="s">
        <v>51</v>
      </c>
      <c r="D35" s="34" t="s">
        <v>158</v>
      </c>
      <c r="E35" s="35" t="s">
        <v>20</v>
      </c>
      <c r="F35" s="36">
        <v>14.74</v>
      </c>
      <c r="G35" s="37"/>
      <c r="H35" s="80" t="s">
        <v>62</v>
      </c>
      <c r="I35" s="36">
        <f t="shared" ref="I35:I38" si="23">TRUNC(G35*(1+HLOOKUP(H35,$F$6:$I$7,2,FALSE)),2)</f>
        <v>0</v>
      </c>
      <c r="J35" s="36">
        <f t="shared" ref="J35:J38" si="24">TRUNC(F35*I35,2)</f>
        <v>0</v>
      </c>
      <c r="K35" s="52"/>
      <c r="L35" s="23"/>
    </row>
    <row r="36" spans="1:12" s="5" customFormat="1" ht="25.5" x14ac:dyDescent="0.2">
      <c r="A36" s="96" t="s">
        <v>199</v>
      </c>
      <c r="B36" s="32" t="s">
        <v>6</v>
      </c>
      <c r="C36" s="33" t="s">
        <v>161</v>
      </c>
      <c r="D36" s="34" t="s">
        <v>162</v>
      </c>
      <c r="E36" s="100" t="s">
        <v>15</v>
      </c>
      <c r="F36" s="36">
        <v>18.78</v>
      </c>
      <c r="G36" s="37"/>
      <c r="H36" s="80" t="s">
        <v>62</v>
      </c>
      <c r="I36" s="36">
        <f t="shared" ref="I36" si="25">TRUNC(G36*(1+HLOOKUP(H36,$F$6:$I$7,2,FALSE)),2)</f>
        <v>0</v>
      </c>
      <c r="J36" s="36">
        <f t="shared" ref="J36" si="26">TRUNC(F36*I36,2)</f>
        <v>0</v>
      </c>
      <c r="K36" s="52"/>
      <c r="L36" s="23"/>
    </row>
    <row r="37" spans="1:12" s="5" customFormat="1" ht="15.75" x14ac:dyDescent="0.2">
      <c r="A37" s="96" t="s">
        <v>200</v>
      </c>
      <c r="B37" s="32" t="s">
        <v>6</v>
      </c>
      <c r="C37" s="33" t="s">
        <v>102</v>
      </c>
      <c r="D37" s="34" t="s">
        <v>126</v>
      </c>
      <c r="E37" s="35" t="s">
        <v>19</v>
      </c>
      <c r="F37" s="36">
        <v>8.6</v>
      </c>
      <c r="G37" s="37"/>
      <c r="H37" s="80" t="s">
        <v>62</v>
      </c>
      <c r="I37" s="36">
        <f t="shared" si="23"/>
        <v>0</v>
      </c>
      <c r="J37" s="36">
        <f t="shared" si="24"/>
        <v>0</v>
      </c>
      <c r="K37" s="52"/>
      <c r="L37" s="23"/>
    </row>
    <row r="38" spans="1:12" s="5" customFormat="1" ht="38.25" x14ac:dyDescent="0.2">
      <c r="A38" s="96" t="s">
        <v>203</v>
      </c>
      <c r="B38" s="192" t="s">
        <v>6</v>
      </c>
      <c r="C38" s="33" t="s">
        <v>216</v>
      </c>
      <c r="D38" s="123" t="s">
        <v>217</v>
      </c>
      <c r="E38" s="35" t="s">
        <v>15</v>
      </c>
      <c r="F38" s="36">
        <v>17.600000000000001</v>
      </c>
      <c r="G38" s="37"/>
      <c r="H38" s="80" t="s">
        <v>62</v>
      </c>
      <c r="I38" s="36">
        <f t="shared" si="23"/>
        <v>0</v>
      </c>
      <c r="J38" s="36">
        <f t="shared" si="24"/>
        <v>0</v>
      </c>
      <c r="K38" s="52"/>
      <c r="L38" s="23"/>
    </row>
    <row r="39" spans="1:12" s="5" customFormat="1" ht="25.5" x14ac:dyDescent="0.2">
      <c r="A39" s="173" t="s">
        <v>204</v>
      </c>
      <c r="B39" s="32" t="s">
        <v>6</v>
      </c>
      <c r="C39" s="122" t="s">
        <v>202</v>
      </c>
      <c r="D39" s="123" t="s">
        <v>201</v>
      </c>
      <c r="E39" s="174" t="s">
        <v>20</v>
      </c>
      <c r="F39" s="37">
        <v>0.88</v>
      </c>
      <c r="G39" s="37"/>
      <c r="H39" s="80" t="s">
        <v>62</v>
      </c>
      <c r="I39" s="37">
        <f t="shared" ref="I39:I44" si="27">TRUNC(G39*(1+HLOOKUP(H39,$F$6:$I$7,2,FALSE)),2)</f>
        <v>0</v>
      </c>
      <c r="J39" s="37">
        <f t="shared" ref="J39:J44" si="28">TRUNC(F39*I39,2)</f>
        <v>0</v>
      </c>
      <c r="K39" s="175"/>
      <c r="L39" s="23"/>
    </row>
    <row r="40" spans="1:12" s="5" customFormat="1" ht="25.5" x14ac:dyDescent="0.2">
      <c r="A40" s="173" t="s">
        <v>205</v>
      </c>
      <c r="B40" s="32" t="s">
        <v>22</v>
      </c>
      <c r="C40" s="122" t="s">
        <v>192</v>
      </c>
      <c r="D40" s="123" t="s">
        <v>191</v>
      </c>
      <c r="E40" s="174" t="s">
        <v>15</v>
      </c>
      <c r="F40" s="37">
        <v>2.52</v>
      </c>
      <c r="G40" s="37"/>
      <c r="H40" s="80" t="s">
        <v>62</v>
      </c>
      <c r="I40" s="37">
        <f t="shared" si="27"/>
        <v>0</v>
      </c>
      <c r="J40" s="37">
        <f t="shared" si="28"/>
        <v>0</v>
      </c>
      <c r="K40" s="175"/>
      <c r="L40" s="23"/>
    </row>
    <row r="41" spans="1:12" s="5" customFormat="1" ht="25.5" x14ac:dyDescent="0.2">
      <c r="A41" s="173" t="s">
        <v>206</v>
      </c>
      <c r="B41" s="32" t="s">
        <v>22</v>
      </c>
      <c r="C41" s="122" t="s">
        <v>189</v>
      </c>
      <c r="D41" s="123" t="s">
        <v>190</v>
      </c>
      <c r="E41" s="174" t="s">
        <v>19</v>
      </c>
      <c r="F41" s="37">
        <v>28.6</v>
      </c>
      <c r="G41" s="37"/>
      <c r="H41" s="80" t="s">
        <v>62</v>
      </c>
      <c r="I41" s="37">
        <f t="shared" ref="I41" si="29">TRUNC(G41*(1+HLOOKUP(H41,$F$6:$I$7,2,FALSE)),2)</f>
        <v>0</v>
      </c>
      <c r="J41" s="37">
        <f t="shared" ref="J41" si="30">TRUNC(F41*I41,2)</f>
        <v>0</v>
      </c>
      <c r="K41" s="175"/>
      <c r="L41" s="23"/>
    </row>
    <row r="42" spans="1:12" s="5" customFormat="1" ht="25.5" x14ac:dyDescent="0.2">
      <c r="A42" s="173" t="s">
        <v>208</v>
      </c>
      <c r="B42" s="32" t="s">
        <v>22</v>
      </c>
      <c r="C42" s="122" t="s">
        <v>209</v>
      </c>
      <c r="D42" s="123" t="s">
        <v>211</v>
      </c>
      <c r="E42" s="174" t="s">
        <v>210</v>
      </c>
      <c r="F42" s="37">
        <v>44</v>
      </c>
      <c r="G42" s="37"/>
      <c r="H42" s="80" t="s">
        <v>62</v>
      </c>
      <c r="I42" s="37">
        <f t="shared" ref="I42" si="31">TRUNC(G42*(1+HLOOKUP(H42,$F$6:$I$7,2,FALSE)),2)</f>
        <v>0</v>
      </c>
      <c r="J42" s="37">
        <f t="shared" ref="J42" si="32">TRUNC(F42*I42,2)</f>
        <v>0</v>
      </c>
      <c r="K42" s="175"/>
      <c r="L42" s="23"/>
    </row>
    <row r="43" spans="1:12" s="5" customFormat="1" ht="25.5" x14ac:dyDescent="0.2">
      <c r="A43" s="173" t="s">
        <v>212</v>
      </c>
      <c r="B43" s="32" t="s">
        <v>22</v>
      </c>
      <c r="C43" s="122" t="s">
        <v>186</v>
      </c>
      <c r="D43" s="123" t="s">
        <v>193</v>
      </c>
      <c r="E43" s="174" t="s">
        <v>19</v>
      </c>
      <c r="F43" s="37">
        <v>15</v>
      </c>
      <c r="G43" s="37"/>
      <c r="H43" s="80" t="s">
        <v>62</v>
      </c>
      <c r="I43" s="37">
        <f t="shared" ref="I43" si="33">TRUNC(G43*(1+HLOOKUP(H43,$F$6:$I$7,2,FALSE)),2)</f>
        <v>0</v>
      </c>
      <c r="J43" s="37">
        <f t="shared" ref="J43" si="34">TRUNC(F43*I43,2)</f>
        <v>0</v>
      </c>
      <c r="K43" s="175"/>
      <c r="L43" s="23"/>
    </row>
    <row r="44" spans="1:12" s="5" customFormat="1" ht="25.5" x14ac:dyDescent="0.2">
      <c r="A44" s="173" t="s">
        <v>207</v>
      </c>
      <c r="B44" s="32" t="s">
        <v>22</v>
      </c>
      <c r="C44" s="122" t="s">
        <v>188</v>
      </c>
      <c r="D44" s="123" t="s">
        <v>187</v>
      </c>
      <c r="E44" s="174" t="s">
        <v>52</v>
      </c>
      <c r="F44" s="37">
        <v>180</v>
      </c>
      <c r="G44" s="37"/>
      <c r="H44" s="80" t="s">
        <v>62</v>
      </c>
      <c r="I44" s="37">
        <f t="shared" si="27"/>
        <v>0</v>
      </c>
      <c r="J44" s="37">
        <f t="shared" si="28"/>
        <v>0</v>
      </c>
      <c r="K44" s="175"/>
      <c r="L44" s="23"/>
    </row>
    <row r="45" spans="1:12" s="5" customFormat="1" ht="25.5" x14ac:dyDescent="0.2">
      <c r="A45" s="173" t="s">
        <v>213</v>
      </c>
      <c r="B45" s="32" t="s">
        <v>22</v>
      </c>
      <c r="C45" s="122">
        <v>70080313</v>
      </c>
      <c r="D45" s="123" t="s">
        <v>194</v>
      </c>
      <c r="E45" s="174" t="s">
        <v>16</v>
      </c>
      <c r="F45" s="37">
        <v>529.74</v>
      </c>
      <c r="G45" s="37"/>
      <c r="H45" s="80" t="s">
        <v>67</v>
      </c>
      <c r="I45" s="37">
        <f t="shared" ref="I45" si="35">TRUNC(G45*(1+HLOOKUP(H45,$F$6:$I$7,2,FALSE)),2)</f>
        <v>0</v>
      </c>
      <c r="J45" s="37">
        <f t="shared" ref="J45" si="36">TRUNC(F45*I45,2)</f>
        <v>0</v>
      </c>
      <c r="K45" s="190"/>
      <c r="L45" s="23"/>
    </row>
    <row r="46" spans="1:12" s="5" customFormat="1" ht="38.25" x14ac:dyDescent="0.2">
      <c r="A46" s="173" t="s">
        <v>218</v>
      </c>
      <c r="B46" s="53" t="s">
        <v>6</v>
      </c>
      <c r="C46" s="54" t="s">
        <v>108</v>
      </c>
      <c r="D46" s="55" t="s">
        <v>115</v>
      </c>
      <c r="E46" s="56" t="s">
        <v>20</v>
      </c>
      <c r="F46" s="57">
        <v>0.24</v>
      </c>
      <c r="G46" s="58"/>
      <c r="H46" s="126" t="s">
        <v>62</v>
      </c>
      <c r="I46" s="57">
        <f t="shared" ref="I46" si="37">TRUNC(G46*(1+HLOOKUP(H46,$F$6:$I$7,2,FALSE)),2)</f>
        <v>0</v>
      </c>
      <c r="J46" s="57">
        <f t="shared" ref="J46" si="38">TRUNC(F46*I46,2)</f>
        <v>0</v>
      </c>
      <c r="K46" s="187"/>
      <c r="L46" s="23"/>
    </row>
    <row r="47" spans="1:12" s="5" customFormat="1" ht="30" customHeight="1" x14ac:dyDescent="0.2">
      <c r="A47" s="143" t="s">
        <v>110</v>
      </c>
      <c r="B47" s="144"/>
      <c r="C47" s="145"/>
      <c r="D47" s="146" t="s">
        <v>112</v>
      </c>
      <c r="E47" s="147"/>
      <c r="F47" s="148"/>
      <c r="G47" s="148"/>
      <c r="H47" s="148"/>
      <c r="I47" s="148"/>
      <c r="J47" s="149">
        <f>SUM(J48:J50)</f>
        <v>0</v>
      </c>
      <c r="K47" s="150" t="e">
        <f>J47/$J$62</f>
        <v>#DIV/0!</v>
      </c>
      <c r="L47" s="23"/>
    </row>
    <row r="48" spans="1:12" s="5" customFormat="1" ht="15.75" x14ac:dyDescent="0.2">
      <c r="A48" s="39" t="s">
        <v>111</v>
      </c>
      <c r="B48" s="32" t="s">
        <v>6</v>
      </c>
      <c r="C48" s="122" t="s">
        <v>163</v>
      </c>
      <c r="D48" s="34" t="s">
        <v>164</v>
      </c>
      <c r="E48" s="35" t="s">
        <v>15</v>
      </c>
      <c r="F48" s="36">
        <v>329.5</v>
      </c>
      <c r="G48" s="37"/>
      <c r="H48" s="80" t="s">
        <v>62</v>
      </c>
      <c r="I48" s="36">
        <f t="shared" ref="I48" si="39">TRUNC(G48*(1+HLOOKUP(H48,$F$6:$I$7,2,FALSE)),2)</f>
        <v>0</v>
      </c>
      <c r="J48" s="36">
        <f t="shared" ref="J48" si="40">TRUNC(F48*I48,2)</f>
        <v>0</v>
      </c>
      <c r="K48" s="52"/>
      <c r="L48" s="23"/>
    </row>
    <row r="49" spans="1:14" s="5" customFormat="1" ht="38.25" x14ac:dyDescent="0.2">
      <c r="A49" s="39" t="s">
        <v>155</v>
      </c>
      <c r="B49" s="32" t="s">
        <v>6</v>
      </c>
      <c r="C49" s="122" t="s">
        <v>165</v>
      </c>
      <c r="D49" s="34" t="s">
        <v>166</v>
      </c>
      <c r="E49" s="35" t="s">
        <v>15</v>
      </c>
      <c r="F49" s="36">
        <v>329.5</v>
      </c>
      <c r="G49" s="37"/>
      <c r="H49" s="80" t="s">
        <v>62</v>
      </c>
      <c r="I49" s="36">
        <f t="shared" ref="I49" si="41">TRUNC(G49*(1+HLOOKUP(H49,$F$6:$I$7,2,FALSE)),2)</f>
        <v>0</v>
      </c>
      <c r="J49" s="36">
        <f t="shared" ref="J49" si="42">TRUNC(F49*I49,2)</f>
        <v>0</v>
      </c>
      <c r="K49" s="52"/>
      <c r="L49" s="23"/>
    </row>
    <row r="50" spans="1:14" s="5" customFormat="1" ht="38.25" x14ac:dyDescent="0.2">
      <c r="A50" s="39" t="s">
        <v>155</v>
      </c>
      <c r="B50" s="32" t="s">
        <v>6</v>
      </c>
      <c r="C50" s="122" t="s">
        <v>113</v>
      </c>
      <c r="D50" s="34" t="str">
        <f>UPPER("Impermeabilização em argamassa polimérica com reforço em tela poliéster para pressão hidrostática positiva")</f>
        <v>IMPERMEABILIZAÇÃO EM ARGAMASSA POLIMÉRICA COM REFORÇO EM TELA POLIÉSTER PARA PRESSÃO HIDROSTÁTICA POSITIVA</v>
      </c>
      <c r="E50" s="35" t="s">
        <v>15</v>
      </c>
      <c r="F50" s="36">
        <v>329.5</v>
      </c>
      <c r="G50" s="37"/>
      <c r="H50" s="80" t="s">
        <v>62</v>
      </c>
      <c r="I50" s="36">
        <f t="shared" ref="I50" si="43">TRUNC(G50*(1+HLOOKUP(H50,$F$6:$I$7,2,FALSE)),2)</f>
        <v>0</v>
      </c>
      <c r="J50" s="36">
        <f t="shared" ref="J50" si="44">TRUNC(F50*I50,2)</f>
        <v>0</v>
      </c>
      <c r="K50" s="52"/>
      <c r="L50" s="23"/>
    </row>
    <row r="51" spans="1:14" s="5" customFormat="1" ht="30" customHeight="1" x14ac:dyDescent="0.2">
      <c r="A51" s="143" t="s">
        <v>121</v>
      </c>
      <c r="B51" s="144"/>
      <c r="C51" s="145"/>
      <c r="D51" s="146" t="s">
        <v>178</v>
      </c>
      <c r="E51" s="147"/>
      <c r="F51" s="148"/>
      <c r="G51" s="148"/>
      <c r="H51" s="148"/>
      <c r="I51" s="148"/>
      <c r="J51" s="149">
        <f>SUM(J52:J53)</f>
        <v>0</v>
      </c>
      <c r="K51" s="150" t="e">
        <f>J51/$J$62</f>
        <v>#DIV/0!</v>
      </c>
      <c r="L51" s="23"/>
    </row>
    <row r="52" spans="1:14" s="5" customFormat="1" ht="63.75" x14ac:dyDescent="0.2">
      <c r="A52" s="171" t="s">
        <v>122</v>
      </c>
      <c r="B52" s="110" t="s">
        <v>84</v>
      </c>
      <c r="C52" s="151" t="s">
        <v>77</v>
      </c>
      <c r="D52" s="154" t="s">
        <v>129</v>
      </c>
      <c r="E52" s="152" t="s">
        <v>52</v>
      </c>
      <c r="F52" s="112">
        <v>1440</v>
      </c>
      <c r="G52" s="112"/>
      <c r="H52" s="139" t="s">
        <v>63</v>
      </c>
      <c r="I52" s="112">
        <f t="shared" ref="I52" si="45">TRUNC(G52*(1+HLOOKUP(H52,$F$6:$I$7,2,FALSE)),2)</f>
        <v>0</v>
      </c>
      <c r="J52" s="112">
        <f t="shared" ref="J52" si="46">TRUNC(F52*I52,2)</f>
        <v>0</v>
      </c>
      <c r="K52" s="172"/>
      <c r="L52" s="23"/>
      <c r="M52" s="156"/>
      <c r="N52" s="156"/>
    </row>
    <row r="53" spans="1:14" s="5" customFormat="1" ht="51" x14ac:dyDescent="0.2">
      <c r="A53" s="176" t="s">
        <v>123</v>
      </c>
      <c r="B53" s="97" t="s">
        <v>4</v>
      </c>
      <c r="C53" s="122">
        <v>91190</v>
      </c>
      <c r="D53" s="123" t="s">
        <v>175</v>
      </c>
      <c r="E53" s="177" t="s">
        <v>52</v>
      </c>
      <c r="F53" s="37">
        <v>329.5</v>
      </c>
      <c r="G53" s="37"/>
      <c r="H53" s="80" t="s">
        <v>62</v>
      </c>
      <c r="I53" s="37">
        <f t="shared" ref="I53" si="47">TRUNC(G53*(1+HLOOKUP(H53,$F$6:$I$7,2,FALSE)),2)</f>
        <v>0</v>
      </c>
      <c r="J53" s="37">
        <f t="shared" ref="J53" si="48">TRUNC(F53*I53,2)</f>
        <v>0</v>
      </c>
      <c r="K53" s="178"/>
      <c r="L53" s="23"/>
      <c r="M53" s="156"/>
      <c r="N53" s="156"/>
    </row>
    <row r="54" spans="1:14" s="5" customFormat="1" ht="30" customHeight="1" x14ac:dyDescent="0.2">
      <c r="A54" s="143" t="s">
        <v>134</v>
      </c>
      <c r="B54" s="144"/>
      <c r="C54" s="145"/>
      <c r="D54" s="146" t="s">
        <v>179</v>
      </c>
      <c r="E54" s="147"/>
      <c r="F54" s="148"/>
      <c r="G54" s="148"/>
      <c r="H54" s="148"/>
      <c r="I54" s="148"/>
      <c r="J54" s="149">
        <f>SUM(J55:J57)</f>
        <v>0</v>
      </c>
      <c r="K54" s="150" t="e">
        <f>J54/$J$62</f>
        <v>#DIV/0!</v>
      </c>
      <c r="L54" s="23"/>
    </row>
    <row r="55" spans="1:14" s="5" customFormat="1" ht="38.25" x14ac:dyDescent="0.2">
      <c r="A55" s="176" t="s">
        <v>136</v>
      </c>
      <c r="B55" s="32" t="s">
        <v>22</v>
      </c>
      <c r="C55" s="122" t="s">
        <v>172</v>
      </c>
      <c r="D55" s="123" t="s">
        <v>173</v>
      </c>
      <c r="E55" s="174" t="s">
        <v>20</v>
      </c>
      <c r="F55" s="37">
        <v>36.61</v>
      </c>
      <c r="G55" s="37"/>
      <c r="H55" s="80" t="s">
        <v>63</v>
      </c>
      <c r="I55" s="37">
        <f t="shared" ref="I55:I56" si="49">TRUNC(G55*(1+HLOOKUP(H55,$F$6:$I$7,2,FALSE)),2)</f>
        <v>0</v>
      </c>
      <c r="J55" s="37">
        <f t="shared" ref="J55:J56" si="50">TRUNC(F55*I55,2)</f>
        <v>0</v>
      </c>
      <c r="K55" s="175"/>
      <c r="L55" s="23"/>
      <c r="M55" s="157"/>
      <c r="N55" s="155"/>
    </row>
    <row r="56" spans="1:14" s="5" customFormat="1" ht="38.25" x14ac:dyDescent="0.2">
      <c r="A56" s="173" t="s">
        <v>180</v>
      </c>
      <c r="B56" s="32" t="s">
        <v>22</v>
      </c>
      <c r="C56" s="122" t="s">
        <v>172</v>
      </c>
      <c r="D56" s="123" t="s">
        <v>174</v>
      </c>
      <c r="E56" s="174" t="s">
        <v>20</v>
      </c>
      <c r="F56" s="37">
        <v>4.58</v>
      </c>
      <c r="G56" s="37"/>
      <c r="H56" s="80" t="s">
        <v>63</v>
      </c>
      <c r="I56" s="37">
        <f t="shared" si="49"/>
        <v>0</v>
      </c>
      <c r="J56" s="37">
        <f t="shared" si="50"/>
        <v>0</v>
      </c>
      <c r="K56" s="175"/>
      <c r="L56" s="23"/>
      <c r="M56" s="157"/>
      <c r="N56" s="155"/>
    </row>
    <row r="57" spans="1:14" s="180" customFormat="1" ht="15" x14ac:dyDescent="0.2">
      <c r="A57" s="173" t="s">
        <v>181</v>
      </c>
      <c r="B57" s="97" t="s">
        <v>22</v>
      </c>
      <c r="C57" s="181">
        <v>70140018</v>
      </c>
      <c r="D57" s="182" t="s">
        <v>133</v>
      </c>
      <c r="E57" s="177" t="s">
        <v>20</v>
      </c>
      <c r="F57" s="37">
        <v>41.19</v>
      </c>
      <c r="G57" s="37"/>
      <c r="H57" s="80" t="s">
        <v>67</v>
      </c>
      <c r="I57" s="37">
        <f t="shared" ref="I57" si="51">TRUNC(G57*(1+HLOOKUP(H57,$F$6:$I$7,2,FALSE)),2)</f>
        <v>0</v>
      </c>
      <c r="J57" s="37">
        <f t="shared" ref="J57" si="52">TRUNC(F57*I57,2)</f>
        <v>0</v>
      </c>
      <c r="K57" s="178"/>
      <c r="L57" s="179"/>
      <c r="M57" s="184"/>
      <c r="N57" s="183"/>
    </row>
    <row r="58" spans="1:14" s="5" customFormat="1" ht="30" customHeight="1" x14ac:dyDescent="0.2">
      <c r="A58" s="143" t="s">
        <v>176</v>
      </c>
      <c r="B58" s="144"/>
      <c r="C58" s="145"/>
      <c r="D58" s="146" t="s">
        <v>135</v>
      </c>
      <c r="E58" s="147"/>
      <c r="F58" s="148"/>
      <c r="G58" s="148"/>
      <c r="H58" s="148"/>
      <c r="I58" s="148"/>
      <c r="J58" s="149">
        <f>SUM(J59:J60)</f>
        <v>0</v>
      </c>
      <c r="K58" s="150" t="e">
        <f>J58/$J$62</f>
        <v>#DIV/0!</v>
      </c>
      <c r="L58" s="23"/>
      <c r="M58" s="157"/>
      <c r="N58" s="155"/>
    </row>
    <row r="59" spans="1:14" s="5" customFormat="1" ht="15.75" x14ac:dyDescent="0.2">
      <c r="A59" s="39" t="s">
        <v>177</v>
      </c>
      <c r="B59" s="32" t="s">
        <v>6</v>
      </c>
      <c r="C59" s="122" t="s">
        <v>137</v>
      </c>
      <c r="D59" s="34" t="s">
        <v>182</v>
      </c>
      <c r="E59" s="35" t="s">
        <v>15</v>
      </c>
      <c r="F59" s="36">
        <v>49.6</v>
      </c>
      <c r="G59" s="37"/>
      <c r="H59" s="80" t="s">
        <v>62</v>
      </c>
      <c r="I59" s="36">
        <f t="shared" ref="I59" si="53">TRUNC(G59*(1+HLOOKUP(H59,$F$6:$I$7,2,FALSE)),2)</f>
        <v>0</v>
      </c>
      <c r="J59" s="36">
        <f t="shared" ref="J59" si="54">TRUNC(F59*I59,2)</f>
        <v>0</v>
      </c>
      <c r="K59" s="52"/>
      <c r="L59" s="23"/>
      <c r="M59" s="157"/>
      <c r="N59" s="155"/>
    </row>
    <row r="60" spans="1:14" s="5" customFormat="1" ht="15.75" x14ac:dyDescent="0.2">
      <c r="A60" s="142"/>
      <c r="B60" s="53"/>
      <c r="C60" s="54"/>
      <c r="D60" s="55"/>
      <c r="E60" s="56"/>
      <c r="F60" s="57"/>
      <c r="G60" s="58"/>
      <c r="H60" s="126"/>
      <c r="I60" s="57"/>
      <c r="J60" s="57"/>
      <c r="K60" s="140"/>
      <c r="L60" s="23"/>
      <c r="M60" s="156"/>
      <c r="N60" s="156"/>
    </row>
    <row r="61" spans="1:14" s="108" customFormat="1" ht="30" customHeight="1" x14ac:dyDescent="0.2">
      <c r="A61" s="109" t="s">
        <v>75</v>
      </c>
      <c r="B61" s="109"/>
      <c r="C61" s="109"/>
      <c r="D61" s="135"/>
      <c r="E61" s="109"/>
      <c r="F61" s="109"/>
      <c r="G61" s="109"/>
      <c r="H61" s="109"/>
      <c r="I61" s="109"/>
      <c r="J61" s="109"/>
      <c r="K61" s="109"/>
      <c r="L61" s="107"/>
      <c r="M61" s="158"/>
      <c r="N61" s="158"/>
    </row>
    <row r="62" spans="1:14" s="2" customFormat="1" ht="30" customHeight="1" x14ac:dyDescent="0.2">
      <c r="A62" s="197" t="s">
        <v>215</v>
      </c>
      <c r="B62" s="198"/>
      <c r="C62" s="198"/>
      <c r="D62" s="198"/>
      <c r="E62" s="198"/>
      <c r="F62" s="198"/>
      <c r="G62" s="198"/>
      <c r="H62" s="198"/>
      <c r="I62" s="198"/>
      <c r="J62" s="191">
        <f>SUM(J10:J60)/2</f>
        <v>0</v>
      </c>
      <c r="K62" s="168" t="e">
        <f>J62/$J$62</f>
        <v>#DIV/0!</v>
      </c>
      <c r="L62" s="24"/>
    </row>
    <row r="63" spans="1:14" s="1" customFormat="1" x14ac:dyDescent="0.2">
      <c r="A63" s="113"/>
      <c r="B63" s="113"/>
      <c r="C63" s="124"/>
      <c r="D63" s="136"/>
      <c r="E63" s="124"/>
      <c r="F63" s="124"/>
      <c r="G63" s="124"/>
      <c r="H63" s="124"/>
      <c r="I63" s="124"/>
      <c r="J63" s="124"/>
      <c r="K63" s="124"/>
      <c r="L63" s="25"/>
    </row>
    <row r="64" spans="1:14" s="1" customFormat="1" x14ac:dyDescent="0.2">
      <c r="A64" s="125"/>
      <c r="B64" s="125"/>
      <c r="C64" s="115"/>
      <c r="D64" s="137"/>
      <c r="E64" s="6"/>
      <c r="F64" s="7"/>
      <c r="G64" s="7"/>
      <c r="H64" s="7"/>
      <c r="I64" s="7"/>
      <c r="J64" s="8"/>
      <c r="K64" s="114"/>
      <c r="L64" s="26"/>
    </row>
    <row r="65" spans="1:12" s="1" customFormat="1" x14ac:dyDescent="0.2">
      <c r="A65" s="193" t="s">
        <v>221</v>
      </c>
      <c r="B65" s="193"/>
      <c r="C65" s="193"/>
      <c r="D65" s="193"/>
      <c r="E65" s="193"/>
      <c r="F65" s="193"/>
      <c r="G65" s="193"/>
      <c r="H65" s="193"/>
      <c r="I65" s="193"/>
      <c r="J65" s="193"/>
      <c r="K65" s="193"/>
      <c r="L65" s="26"/>
    </row>
  </sheetData>
  <mergeCells count="7">
    <mergeCell ref="A65:K65"/>
    <mergeCell ref="A1:B1"/>
    <mergeCell ref="C1:K1"/>
    <mergeCell ref="A62:I62"/>
    <mergeCell ref="A4:E4"/>
    <mergeCell ref="A7:E7"/>
    <mergeCell ref="G3:K4"/>
  </mergeCells>
  <dataValidations disablePrompts="1" count="1">
    <dataValidation type="list" allowBlank="1" showInputMessage="1" showErrorMessage="1" sqref="H11:H13 H59:H60 H15:H17 H55:H57 H19:H24 H48:H50 H52:H53 H26:H46">
      <formula1>$F$6:$I$6</formula1>
    </dataValidation>
  </dataValidations>
  <printOptions horizontalCentered="1"/>
  <pageMargins left="0.78740157480314965" right="0.39370078740157483" top="0.39370078740157483" bottom="0.39370078740157483" header="0.39370078740157483" footer="0.19685039370078741"/>
  <pageSetup paperSize="9" scale="59" firstPageNumber="0" fitToHeight="0" orientation="portrait" r:id="rId1"/>
  <headerFooter>
    <oddFooter>Página &amp;P de &amp;N</oddFooter>
  </headerFooter>
  <rowBreaks count="1" manualBreakCount="1">
    <brk id="79" max="1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96"/>
  <sheetViews>
    <sheetView showGridLines="0" view="pageBreakPreview" zoomScaleNormal="100" zoomScaleSheetLayoutView="100" workbookViewId="0">
      <selection sqref="A1:B1"/>
    </sheetView>
  </sheetViews>
  <sheetFormatPr defaultRowHeight="12.75" x14ac:dyDescent="0.2"/>
  <cols>
    <col min="1" max="1" width="6.7109375" style="12" customWidth="1"/>
    <col min="2" max="2" width="32" style="12" customWidth="1"/>
    <col min="3" max="6" width="15.140625" style="12" customWidth="1"/>
    <col min="7" max="7" width="20.5703125" style="12" customWidth="1"/>
    <col min="8" max="8" width="16.42578125" style="12" customWidth="1"/>
    <col min="9" max="9" width="3.28515625" style="28" customWidth="1"/>
    <col min="10" max="1025" width="8.7109375" style="12" customWidth="1"/>
    <col min="1026" max="16384" width="9.140625" style="12"/>
  </cols>
  <sheetData>
    <row r="1" spans="1:10" s="11" customFormat="1" ht="69" customHeight="1" thickBot="1" x14ac:dyDescent="0.35">
      <c r="A1" s="194" t="s">
        <v>220</v>
      </c>
      <c r="B1" s="195"/>
      <c r="C1" s="206" t="s">
        <v>87</v>
      </c>
      <c r="D1" s="206"/>
      <c r="E1" s="206"/>
      <c r="F1" s="206"/>
      <c r="G1" s="206"/>
      <c r="H1" s="206"/>
      <c r="I1" s="27"/>
    </row>
    <row r="2" spans="1:10" s="11" customFormat="1" ht="15" customHeight="1" x14ac:dyDescent="0.2">
      <c r="A2" s="61"/>
      <c r="B2" s="51"/>
      <c r="C2" s="51"/>
      <c r="D2" s="51"/>
      <c r="E2" s="51"/>
      <c r="F2" s="51"/>
      <c r="G2" s="51"/>
      <c r="H2" s="51"/>
      <c r="I2" s="27"/>
    </row>
    <row r="3" spans="1:10" s="11" customFormat="1" ht="15" customHeight="1" x14ac:dyDescent="0.2">
      <c r="A3" s="69" t="s">
        <v>59</v>
      </c>
      <c r="B3" s="70"/>
      <c r="C3" s="71"/>
      <c r="D3" s="71"/>
      <c r="E3" s="71"/>
      <c r="H3" s="86"/>
    </row>
    <row r="4" spans="1:10" s="11" customFormat="1" ht="15" customHeight="1" x14ac:dyDescent="0.2">
      <c r="A4" s="199" t="str">
        <f>ORÇAMENTO!A4</f>
        <v>REFORMA ESTRUTURAL E ADEQUAÇÃO DO FILTRO N° 2 - ETA VILA PUREZA</v>
      </c>
      <c r="B4" s="200"/>
      <c r="C4" s="200"/>
      <c r="D4" s="200"/>
      <c r="E4" s="200"/>
      <c r="F4" s="200"/>
      <c r="G4" s="200"/>
      <c r="H4" s="201"/>
    </row>
    <row r="5" spans="1:10" s="11" customFormat="1" ht="7.5" customHeight="1" x14ac:dyDescent="0.2">
      <c r="A5" s="61"/>
      <c r="B5" s="51"/>
      <c r="C5" s="51"/>
      <c r="D5" s="51"/>
      <c r="E5" s="51"/>
      <c r="F5" s="51"/>
      <c r="G5" s="51"/>
      <c r="H5" s="51"/>
      <c r="I5" s="27"/>
    </row>
    <row r="6" spans="1:10" s="11" customFormat="1" ht="15" customHeight="1" x14ac:dyDescent="0.2">
      <c r="A6" s="69" t="s">
        <v>61</v>
      </c>
      <c r="B6" s="70"/>
      <c r="C6" s="71"/>
      <c r="D6" s="71"/>
      <c r="E6" s="71"/>
      <c r="F6" s="51"/>
      <c r="G6" s="72" t="s">
        <v>66</v>
      </c>
      <c r="H6" s="73" t="s">
        <v>65</v>
      </c>
      <c r="I6" s="27"/>
    </row>
    <row r="7" spans="1:10" s="11" customFormat="1" ht="15" customHeight="1" x14ac:dyDescent="0.2">
      <c r="A7" s="199" t="s">
        <v>48</v>
      </c>
      <c r="B7" s="200"/>
      <c r="C7" s="200"/>
      <c r="D7" s="200"/>
      <c r="E7" s="200"/>
      <c r="F7" s="200"/>
      <c r="G7" s="84">
        <f>ORÇAMENTO!J7</f>
        <v>45413</v>
      </c>
      <c r="H7" s="76" t="str">
        <f>ORÇAMENTO!K7</f>
        <v>03</v>
      </c>
      <c r="I7" s="27"/>
    </row>
    <row r="8" spans="1:10" s="11" customFormat="1" ht="15" customHeight="1" x14ac:dyDescent="0.2">
      <c r="A8" s="61"/>
      <c r="B8" s="51"/>
      <c r="C8" s="51"/>
      <c r="D8" s="51"/>
      <c r="E8" s="51"/>
      <c r="F8" s="51"/>
      <c r="G8" s="51"/>
      <c r="H8" s="51"/>
      <c r="I8" s="27"/>
    </row>
    <row r="9" spans="1:10" ht="20.100000000000001" customHeight="1" x14ac:dyDescent="0.2">
      <c r="A9" s="214" t="s">
        <v>0</v>
      </c>
      <c r="B9" s="214" t="s">
        <v>1</v>
      </c>
      <c r="C9" s="216" t="s">
        <v>7</v>
      </c>
      <c r="D9" s="216"/>
      <c r="E9" s="216"/>
      <c r="F9" s="216"/>
      <c r="G9" s="214" t="s">
        <v>14</v>
      </c>
      <c r="H9" s="217" t="s">
        <v>3</v>
      </c>
    </row>
    <row r="10" spans="1:10" ht="20.100000000000001" customHeight="1" x14ac:dyDescent="0.2">
      <c r="A10" s="215"/>
      <c r="B10" s="215"/>
      <c r="C10" s="88" t="s">
        <v>8</v>
      </c>
      <c r="D10" s="88" t="s">
        <v>9</v>
      </c>
      <c r="E10" s="159" t="s">
        <v>10</v>
      </c>
      <c r="F10" s="88" t="s">
        <v>114</v>
      </c>
      <c r="G10" s="215"/>
      <c r="H10" s="218"/>
    </row>
    <row r="11" spans="1:10" ht="15" customHeight="1" x14ac:dyDescent="0.2">
      <c r="A11" s="211" t="s">
        <v>11</v>
      </c>
      <c r="B11" s="212" t="str">
        <f>IFERROR(VLOOKUP(A11,PO,4,0),"")</f>
        <v>SERVIÇOS PRELIMINARES</v>
      </c>
      <c r="C11" s="67">
        <f>IF(C12="","",C12*$G$11)</f>
        <v>0</v>
      </c>
      <c r="D11" s="67" t="str">
        <f t="shared" ref="D11:F11" si="0">IF(D12="","",D12*$G$11)</f>
        <v/>
      </c>
      <c r="E11" s="67" t="str">
        <f t="shared" si="0"/>
        <v/>
      </c>
      <c r="F11" s="67" t="str">
        <f t="shared" si="0"/>
        <v/>
      </c>
      <c r="G11" s="219">
        <f>IFERROR(VLOOKUP(A11,PO,10,0),"")</f>
        <v>0</v>
      </c>
      <c r="H11" s="213" t="str">
        <f>IFERROR(VLOOKUP(A11,PO,11,0),"")</f>
        <v/>
      </c>
    </row>
    <row r="12" spans="1:10" ht="15" customHeight="1" x14ac:dyDescent="0.2">
      <c r="A12" s="207"/>
      <c r="B12" s="208"/>
      <c r="C12" s="91">
        <v>1</v>
      </c>
      <c r="D12" s="91"/>
      <c r="E12" s="91"/>
      <c r="F12" s="91"/>
      <c r="G12" s="209"/>
      <c r="H12" s="210"/>
      <c r="J12" s="12" t="str">
        <f>IF(SUM(C12:F12)=100%,"Ok","Revisar percentuais")</f>
        <v>Ok</v>
      </c>
    </row>
    <row r="13" spans="1:10" ht="15" customHeight="1" x14ac:dyDescent="0.2">
      <c r="A13" s="207" t="s">
        <v>17</v>
      </c>
      <c r="B13" s="208" t="str">
        <f>IFERROR(VLOOKUP(A13,PO,4,0),"")</f>
        <v>TRANSPORTE VERTICAL E PLATAFORMA DE TRABALHO</v>
      </c>
      <c r="C13" s="68">
        <f>IF(C14="","",C14*$G13)</f>
        <v>0</v>
      </c>
      <c r="D13" s="68">
        <f t="shared" ref="D13:F13" si="1">IF(D14="","",D14*$G13)</f>
        <v>0</v>
      </c>
      <c r="E13" s="68">
        <f t="shared" si="1"/>
        <v>0</v>
      </c>
      <c r="F13" s="68">
        <f t="shared" si="1"/>
        <v>0</v>
      </c>
      <c r="G13" s="209">
        <f>IFERROR(VLOOKUP(A13,PO,10,0),"")</f>
        <v>0</v>
      </c>
      <c r="H13" s="210" t="str">
        <f>IFERROR(VLOOKUP(A13,PO,11,0),"")</f>
        <v/>
      </c>
    </row>
    <row r="14" spans="1:10" ht="15" customHeight="1" x14ac:dyDescent="0.2">
      <c r="A14" s="207"/>
      <c r="B14" s="208"/>
      <c r="C14" s="91">
        <v>0.25</v>
      </c>
      <c r="D14" s="91">
        <v>0.25</v>
      </c>
      <c r="E14" s="91">
        <v>0.25</v>
      </c>
      <c r="F14" s="91">
        <v>0.25</v>
      </c>
      <c r="G14" s="209"/>
      <c r="H14" s="210"/>
      <c r="J14" s="12" t="str">
        <f>IF(SUM(C14:F14)=100%,"Ok","Revisar percentuais")</f>
        <v>Ok</v>
      </c>
    </row>
    <row r="15" spans="1:10" ht="15" customHeight="1" x14ac:dyDescent="0.2">
      <c r="A15" s="207" t="s">
        <v>18</v>
      </c>
      <c r="B15" s="208" t="str">
        <f>IFERROR(VLOOKUP(A15,PO,4,0),"")</f>
        <v>DEMOLIÇÕES E RETIRADAS</v>
      </c>
      <c r="C15" s="68">
        <f>IF(C16="","",C16*$G15)</f>
        <v>0</v>
      </c>
      <c r="D15" s="68" t="str">
        <f t="shared" ref="D15:F15" si="2">IF(D16="","",D16*$G15)</f>
        <v/>
      </c>
      <c r="E15" s="68" t="str">
        <f t="shared" si="2"/>
        <v/>
      </c>
      <c r="F15" s="68" t="str">
        <f t="shared" si="2"/>
        <v/>
      </c>
      <c r="G15" s="209">
        <f>IFERROR(VLOOKUP(A15,PO,10,0),"")</f>
        <v>0</v>
      </c>
      <c r="H15" s="210" t="str">
        <f>IFERROR(VLOOKUP(A15,PO,11,0),"")</f>
        <v/>
      </c>
    </row>
    <row r="16" spans="1:10" ht="15" customHeight="1" x14ac:dyDescent="0.2">
      <c r="A16" s="207"/>
      <c r="B16" s="208"/>
      <c r="C16" s="91">
        <v>1</v>
      </c>
      <c r="D16" s="91"/>
      <c r="E16" s="91"/>
      <c r="F16" s="91"/>
      <c r="G16" s="209"/>
      <c r="H16" s="210"/>
      <c r="J16" s="12" t="str">
        <f>IF(SUM(C16:F16)=100%,"Ok","Revisar percentuais")</f>
        <v>Ok</v>
      </c>
    </row>
    <row r="17" spans="1:18" ht="15" customHeight="1" x14ac:dyDescent="0.2">
      <c r="A17" s="207" t="s">
        <v>104</v>
      </c>
      <c r="B17" s="208" t="str">
        <f>IFERROR(VLOOKUP(A17,PO,4,0),"")</f>
        <v>ESTRUTURA DE CONCRETO ARMADO</v>
      </c>
      <c r="C17" s="68">
        <f>IF(C18="","",C18*$G17)</f>
        <v>0</v>
      </c>
      <c r="D17" s="68">
        <f t="shared" ref="D17:F25" si="3">IF(D18="","",D18*$G17)</f>
        <v>0</v>
      </c>
      <c r="E17" s="68">
        <f t="shared" si="3"/>
        <v>0</v>
      </c>
      <c r="F17" s="68" t="str">
        <f t="shared" si="3"/>
        <v/>
      </c>
      <c r="G17" s="209">
        <f>IFERROR(VLOOKUP(A17,PO,10,0),"")</f>
        <v>0</v>
      </c>
      <c r="H17" s="210" t="str">
        <f>IFERROR(VLOOKUP(A17,PO,11,0),"")</f>
        <v/>
      </c>
    </row>
    <row r="18" spans="1:18" ht="15" customHeight="1" x14ac:dyDescent="0.2">
      <c r="A18" s="207"/>
      <c r="B18" s="208"/>
      <c r="C18" s="91">
        <v>0.2</v>
      </c>
      <c r="D18" s="91">
        <v>0.4</v>
      </c>
      <c r="E18" s="91">
        <v>0.4</v>
      </c>
      <c r="F18" s="91"/>
      <c r="G18" s="209"/>
      <c r="H18" s="210"/>
      <c r="J18" s="12" t="str">
        <f>IF(SUM(C18:F18)=100%,"Ok","Revisar percentuais")</f>
        <v>Ok</v>
      </c>
    </row>
    <row r="19" spans="1:18" ht="15" customHeight="1" x14ac:dyDescent="0.2">
      <c r="A19" s="207" t="s">
        <v>110</v>
      </c>
      <c r="B19" s="208" t="str">
        <f>IFERROR(VLOOKUP(A19,PO,4,0),"")</f>
        <v>IMPERMEABILIZAÇÃO</v>
      </c>
      <c r="C19" s="68" t="str">
        <f>IF(C20="","",C20*$G19)</f>
        <v/>
      </c>
      <c r="D19" s="68">
        <f t="shared" si="3"/>
        <v>0</v>
      </c>
      <c r="E19" s="68">
        <f t="shared" si="3"/>
        <v>0</v>
      </c>
      <c r="F19" s="68">
        <f t="shared" si="3"/>
        <v>0</v>
      </c>
      <c r="G19" s="209">
        <f>IFERROR(VLOOKUP(A19,PO,10,0),"")</f>
        <v>0</v>
      </c>
      <c r="H19" s="210" t="str">
        <f>IFERROR(VLOOKUP(A19,PO,11,0),"")</f>
        <v/>
      </c>
    </row>
    <row r="20" spans="1:18" ht="15" customHeight="1" x14ac:dyDescent="0.2">
      <c r="A20" s="207"/>
      <c r="B20" s="208"/>
      <c r="C20" s="91"/>
      <c r="D20" s="91">
        <v>0.5</v>
      </c>
      <c r="E20" s="91">
        <v>0.3</v>
      </c>
      <c r="F20" s="91">
        <v>0.2</v>
      </c>
      <c r="G20" s="209"/>
      <c r="H20" s="210"/>
      <c r="J20" s="12" t="str">
        <f>IF(SUM(C20:F20)=100%,"Ok","Revisar percentuais")</f>
        <v>Ok</v>
      </c>
    </row>
    <row r="21" spans="1:18" ht="15" customHeight="1" x14ac:dyDescent="0.2">
      <c r="A21" s="207" t="s">
        <v>121</v>
      </c>
      <c r="B21" s="208" t="str">
        <f>IFERROR(VLOOKUP(A21,PO,4,0),"")</f>
        <v>INTALAÇÃO DE CREPINAS Ø1"</v>
      </c>
      <c r="C21" s="68" t="str">
        <f>IF(C22="","",C22*$G21)</f>
        <v/>
      </c>
      <c r="D21" s="68">
        <f t="shared" si="3"/>
        <v>0</v>
      </c>
      <c r="E21" s="68">
        <f t="shared" si="3"/>
        <v>0</v>
      </c>
      <c r="F21" s="68" t="str">
        <f t="shared" si="3"/>
        <v/>
      </c>
      <c r="G21" s="209">
        <f>IFERROR(VLOOKUP(A21,PO,10,0),"")</f>
        <v>0</v>
      </c>
      <c r="H21" s="210" t="str">
        <f>IFERROR(VLOOKUP(A21,PO,11,0),"")</f>
        <v/>
      </c>
    </row>
    <row r="22" spans="1:18" ht="15" customHeight="1" x14ac:dyDescent="0.2">
      <c r="A22" s="207"/>
      <c r="B22" s="208"/>
      <c r="C22" s="91"/>
      <c r="D22" s="91">
        <v>0.5</v>
      </c>
      <c r="E22" s="91">
        <v>0.5</v>
      </c>
      <c r="F22" s="91"/>
      <c r="G22" s="209"/>
      <c r="H22" s="210"/>
      <c r="J22" s="12" t="str">
        <f>IF(SUM(C22:F22)=100%,"Ok","Revisar percentuais")</f>
        <v>Ok</v>
      </c>
    </row>
    <row r="23" spans="1:18" ht="15" customHeight="1" x14ac:dyDescent="0.2">
      <c r="A23" s="207" t="s">
        <v>134</v>
      </c>
      <c r="B23" s="208" t="str">
        <f>IFERROR(VLOOKUP(A23,PO,4,0),"")</f>
        <v>EXECUÇÃO DO MEIO FILTRANTE</v>
      </c>
      <c r="C23" s="68" t="str">
        <f>IF(C24="","",C24*$G23)</f>
        <v/>
      </c>
      <c r="D23" s="68" t="str">
        <f t="shared" si="3"/>
        <v/>
      </c>
      <c r="E23" s="68" t="str">
        <f t="shared" si="3"/>
        <v/>
      </c>
      <c r="F23" s="68">
        <f t="shared" si="3"/>
        <v>0</v>
      </c>
      <c r="G23" s="209">
        <f>IFERROR(VLOOKUP(A23,PO,10,0),"")</f>
        <v>0</v>
      </c>
      <c r="H23" s="210" t="str">
        <f>IFERROR(VLOOKUP(A23,PO,11,0),"")</f>
        <v/>
      </c>
    </row>
    <row r="24" spans="1:18" ht="15" customHeight="1" x14ac:dyDescent="0.2">
      <c r="A24" s="207"/>
      <c r="B24" s="208"/>
      <c r="C24" s="91"/>
      <c r="D24" s="91"/>
      <c r="E24" s="91"/>
      <c r="F24" s="91">
        <v>1</v>
      </c>
      <c r="G24" s="209"/>
      <c r="H24" s="210"/>
      <c r="J24" s="12" t="str">
        <f>IF(SUM(C24:F24)=100%,"Ok","Revisar percentuais")</f>
        <v>Ok</v>
      </c>
    </row>
    <row r="25" spans="1:18" ht="15" customHeight="1" x14ac:dyDescent="0.2">
      <c r="A25" s="207" t="s">
        <v>176</v>
      </c>
      <c r="B25" s="208" t="str">
        <f>IFERROR(VLOOKUP(A25,PO,4,0),"")</f>
        <v>SERVIÇOS COMPLEMENTARES</v>
      </c>
      <c r="C25" s="68" t="str">
        <f>IF(C26="","",C26*$G25)</f>
        <v/>
      </c>
      <c r="D25" s="68" t="str">
        <f t="shared" si="3"/>
        <v/>
      </c>
      <c r="E25" s="68" t="str">
        <f t="shared" si="3"/>
        <v/>
      </c>
      <c r="F25" s="68">
        <f t="shared" si="3"/>
        <v>0</v>
      </c>
      <c r="G25" s="209">
        <f>IFERROR(VLOOKUP(A25,PO,10,0),"")</f>
        <v>0</v>
      </c>
      <c r="H25" s="210" t="str">
        <f>IFERROR(VLOOKUP(A25,PO,11,0),"")</f>
        <v/>
      </c>
    </row>
    <row r="26" spans="1:18" ht="15" customHeight="1" x14ac:dyDescent="0.2">
      <c r="A26" s="230"/>
      <c r="B26" s="231"/>
      <c r="C26" s="92"/>
      <c r="D26" s="92"/>
      <c r="E26" s="92"/>
      <c r="F26" s="92">
        <v>1</v>
      </c>
      <c r="G26" s="232"/>
      <c r="H26" s="233"/>
      <c r="J26" s="12" t="str">
        <f>IF(SUM(C26:F26)=100%,"Ok","Revisar percentuais")</f>
        <v>Ok</v>
      </c>
    </row>
    <row r="27" spans="1:18" ht="15" customHeight="1" x14ac:dyDescent="0.2">
      <c r="A27" s="61"/>
      <c r="B27" s="62"/>
      <c r="C27" s="63"/>
      <c r="D27" s="63"/>
      <c r="E27" s="63"/>
      <c r="F27" s="63"/>
      <c r="G27" s="64"/>
      <c r="H27" s="65"/>
    </row>
    <row r="28" spans="1:18" s="13" customFormat="1" ht="15" customHeight="1" x14ac:dyDescent="0.2">
      <c r="A28" s="221" t="s">
        <v>73</v>
      </c>
      <c r="B28" s="221"/>
      <c r="C28" s="169">
        <f>SUMIF(C11:C26,"&gt;1",C11:C26)</f>
        <v>0</v>
      </c>
      <c r="D28" s="169">
        <f>SUMIF(D11:D26,"&gt;1",D11:D26)</f>
        <v>0</v>
      </c>
      <c r="E28" s="169">
        <f>SUMIF(E11:E26,"&gt;1",E11:E26)</f>
        <v>0</v>
      </c>
      <c r="F28" s="169">
        <f>SUMIF(F11:F26,"&gt;1",F11:F26)</f>
        <v>0</v>
      </c>
      <c r="G28" s="223">
        <f>IF(SUM(G11:G26)=ORÇAMENTO!J62,ORÇAMENTO!J62,"ERRO")</f>
        <v>0</v>
      </c>
      <c r="H28" s="225">
        <f>SUM(H11:H26)</f>
        <v>0</v>
      </c>
      <c r="I28" s="29"/>
      <c r="L28" s="12"/>
      <c r="M28" s="12"/>
      <c r="N28" s="12"/>
      <c r="O28" s="12"/>
      <c r="P28" s="12"/>
      <c r="Q28" s="12"/>
      <c r="R28" s="12"/>
    </row>
    <row r="29" spans="1:18" s="13" customFormat="1" ht="15" customHeight="1" x14ac:dyDescent="0.2">
      <c r="A29" s="222"/>
      <c r="B29" s="222"/>
      <c r="C29" s="170" t="e">
        <f>C28/$G$28</f>
        <v>#DIV/0!</v>
      </c>
      <c r="D29" s="170" t="e">
        <f>D28/$G$28</f>
        <v>#DIV/0!</v>
      </c>
      <c r="E29" s="170" t="e">
        <f t="shared" ref="E29:F29" si="4">E28/$G$28</f>
        <v>#DIV/0!</v>
      </c>
      <c r="F29" s="170" t="e">
        <f t="shared" si="4"/>
        <v>#DIV/0!</v>
      </c>
      <c r="G29" s="224"/>
      <c r="H29" s="222"/>
      <c r="I29" s="29"/>
      <c r="L29" s="12"/>
      <c r="M29" s="12"/>
      <c r="N29" s="12"/>
      <c r="O29" s="12"/>
      <c r="P29" s="12"/>
      <c r="Q29" s="12"/>
      <c r="R29" s="12"/>
    </row>
    <row r="30" spans="1:18" s="13" customFormat="1" ht="15" customHeight="1" x14ac:dyDescent="0.2">
      <c r="A30" s="226" t="s">
        <v>74</v>
      </c>
      <c r="B30" s="226"/>
      <c r="C30" s="87">
        <f>C28</f>
        <v>0</v>
      </c>
      <c r="D30" s="87">
        <f t="shared" ref="D30" si="5">C30+D28</f>
        <v>0</v>
      </c>
      <c r="E30" s="87">
        <f t="shared" ref="E30" si="6">D30+E28</f>
        <v>0</v>
      </c>
      <c r="F30" s="87">
        <f t="shared" ref="F30" si="7">E30+F28</f>
        <v>0</v>
      </c>
      <c r="G30" s="228"/>
      <c r="H30" s="226"/>
      <c r="I30" s="29"/>
    </row>
    <row r="31" spans="1:18" s="13" customFormat="1" ht="15" customHeight="1" x14ac:dyDescent="0.2">
      <c r="A31" s="227"/>
      <c r="B31" s="227"/>
      <c r="C31" s="66" t="e">
        <f>C30/$G$28</f>
        <v>#DIV/0!</v>
      </c>
      <c r="D31" s="66" t="e">
        <f>D30/$G$28</f>
        <v>#DIV/0!</v>
      </c>
      <c r="E31" s="66" t="e">
        <f t="shared" ref="E31:F31" si="8">E30/$G$28</f>
        <v>#DIV/0!</v>
      </c>
      <c r="F31" s="66" t="e">
        <f t="shared" si="8"/>
        <v>#DIV/0!</v>
      </c>
      <c r="G31" s="229"/>
      <c r="H31" s="227"/>
      <c r="I31" s="29"/>
    </row>
    <row r="32" spans="1:18" ht="15" customHeight="1" x14ac:dyDescent="0.2"/>
    <row r="33" spans="1:9" ht="15" customHeight="1" x14ac:dyDescent="0.2">
      <c r="A33" s="193" t="str">
        <f>ORÇAMENTO!A65</f>
        <v>LOCAL E DATA</v>
      </c>
      <c r="B33" s="193"/>
      <c r="C33" s="193"/>
      <c r="D33" s="193"/>
      <c r="E33" s="193"/>
      <c r="F33" s="193"/>
      <c r="G33" s="193"/>
      <c r="H33" s="193"/>
    </row>
    <row r="34" spans="1:9" ht="15" customHeight="1" x14ac:dyDescent="0.2"/>
    <row r="35" spans="1:9" ht="15" customHeight="1" x14ac:dyDescent="0.2"/>
    <row r="36" spans="1:9" ht="15" customHeight="1" x14ac:dyDescent="0.2">
      <c r="G36" s="220"/>
      <c r="H36" s="220"/>
    </row>
    <row r="40" spans="1:9" x14ac:dyDescent="0.2">
      <c r="B40" s="14"/>
      <c r="G40" s="14"/>
      <c r="H40" s="11"/>
    </row>
    <row r="41" spans="1:9" s="15" customFormat="1" x14ac:dyDescent="0.2">
      <c r="C41" s="16"/>
      <c r="G41" s="17"/>
      <c r="H41" s="17"/>
      <c r="I41" s="30"/>
    </row>
    <row r="42" spans="1:9" s="10" customFormat="1" x14ac:dyDescent="0.2">
      <c r="C42" s="18"/>
      <c r="E42" s="160"/>
      <c r="G42" s="14"/>
      <c r="H42" s="14"/>
      <c r="I42" s="31"/>
    </row>
    <row r="43" spans="1:9" x14ac:dyDescent="0.2">
      <c r="A43" s="19"/>
      <c r="G43" s="11"/>
      <c r="H43" s="11"/>
    </row>
    <row r="96" spans="1:1" x14ac:dyDescent="0.2">
      <c r="A96" s="19"/>
    </row>
  </sheetData>
  <mergeCells count="49">
    <mergeCell ref="B25:B26"/>
    <mergeCell ref="G25:G26"/>
    <mergeCell ref="H25:H26"/>
    <mergeCell ref="A4:H4"/>
    <mergeCell ref="A7:F7"/>
    <mergeCell ref="G11:G12"/>
    <mergeCell ref="G36:H36"/>
    <mergeCell ref="A33:H33"/>
    <mergeCell ref="A28:B29"/>
    <mergeCell ref="G28:G29"/>
    <mergeCell ref="H28:H29"/>
    <mergeCell ref="A30:B31"/>
    <mergeCell ref="G30:G31"/>
    <mergeCell ref="H30:H31"/>
    <mergeCell ref="A23:A24"/>
    <mergeCell ref="B23:B24"/>
    <mergeCell ref="G23:G24"/>
    <mergeCell ref="H23:H24"/>
    <mergeCell ref="A25:A26"/>
    <mergeCell ref="A11:A12"/>
    <mergeCell ref="B11:B12"/>
    <mergeCell ref="H11:H12"/>
    <mergeCell ref="A9:A10"/>
    <mergeCell ref="B9:B10"/>
    <mergeCell ref="C9:F9"/>
    <mergeCell ref="G9:G10"/>
    <mergeCell ref="H9:H10"/>
    <mergeCell ref="G15:G16"/>
    <mergeCell ref="H15:H16"/>
    <mergeCell ref="A17:A18"/>
    <mergeCell ref="B17:B18"/>
    <mergeCell ref="G17:G18"/>
    <mergeCell ref="H17:H18"/>
    <mergeCell ref="A1:B1"/>
    <mergeCell ref="C1:H1"/>
    <mergeCell ref="A21:A22"/>
    <mergeCell ref="B21:B22"/>
    <mergeCell ref="G21:G22"/>
    <mergeCell ref="H21:H22"/>
    <mergeCell ref="A19:A20"/>
    <mergeCell ref="B19:B20"/>
    <mergeCell ref="G19:G20"/>
    <mergeCell ref="H19:H20"/>
    <mergeCell ref="G13:G14"/>
    <mergeCell ref="A13:A14"/>
    <mergeCell ref="B13:B14"/>
    <mergeCell ref="H13:H14"/>
    <mergeCell ref="A15:A16"/>
    <mergeCell ref="B15:B16"/>
  </mergeCells>
  <conditionalFormatting sqref="C11:F11 C13:F13 C15:F15 C17:F17 C19:F19 C23:F23 C25:F25">
    <cfRule type="notContainsBlanks" dxfId="6" priority="10">
      <formula>LEN(TRIM(C11))&gt;0</formula>
    </cfRule>
  </conditionalFormatting>
  <conditionalFormatting sqref="C21:F21">
    <cfRule type="notContainsBlanks" dxfId="5" priority="1">
      <formula>LEN(TRIM(C21))&gt;0</formula>
    </cfRule>
  </conditionalFormatting>
  <printOptions horizontalCentered="1"/>
  <pageMargins left="0.78740157480314965" right="0.59055118110236227" top="0.59055118110236227" bottom="0.39370078740157483" header="0.39370078740157483" footer="0.19685039370078741"/>
  <pageSetup paperSize="9" scale="65" firstPageNumber="0" fitToHeight="0" orientation="portrait" r:id="rId1"/>
  <headerFooter>
    <oddFooter>Página &amp;P de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I120"/>
  <sheetViews>
    <sheetView showGridLines="0" view="pageBreakPreview" zoomScaleNormal="100" zoomScaleSheetLayoutView="100" workbookViewId="0">
      <pane ySplit="7" topLeftCell="A8" activePane="bottomLeft" state="frozen"/>
      <selection pane="bottomLeft" activeCell="A8" sqref="A8"/>
    </sheetView>
  </sheetViews>
  <sheetFormatPr defaultRowHeight="12.75" x14ac:dyDescent="0.2"/>
  <cols>
    <col min="1" max="1" width="13.28515625" style="1" bestFit="1" customWidth="1"/>
    <col min="2" max="3" width="20.7109375" style="1" customWidth="1"/>
    <col min="4" max="4" width="11.5703125" style="2" customWidth="1"/>
    <col min="5" max="5" width="3.85546875" style="1" customWidth="1"/>
    <col min="6" max="8" width="13.28515625" style="1" customWidth="1"/>
    <col min="9" max="16384" width="9.140625" style="1"/>
  </cols>
  <sheetData>
    <row r="1" spans="1:9" ht="72" customHeight="1" thickBot="1" x14ac:dyDescent="0.25">
      <c r="A1" s="194" t="s">
        <v>220</v>
      </c>
      <c r="B1" s="195"/>
      <c r="C1" s="196" t="s">
        <v>88</v>
      </c>
      <c r="D1" s="196"/>
      <c r="E1" s="196"/>
      <c r="F1" s="196"/>
      <c r="G1" s="196"/>
      <c r="H1" s="196"/>
    </row>
    <row r="2" spans="1:9" ht="14.25" x14ac:dyDescent="0.2">
      <c r="A2" s="50"/>
      <c r="B2" s="51"/>
      <c r="C2" s="51"/>
      <c r="D2" s="51"/>
      <c r="E2" s="51"/>
      <c r="F2" s="51"/>
      <c r="G2" s="51"/>
      <c r="H2" s="51"/>
    </row>
    <row r="3" spans="1:9" s="11" customFormat="1" ht="15" customHeight="1" x14ac:dyDescent="0.2">
      <c r="A3" s="69" t="s">
        <v>59</v>
      </c>
      <c r="B3" s="70"/>
      <c r="C3" s="71"/>
      <c r="D3" s="71"/>
      <c r="H3" s="86"/>
    </row>
    <row r="4" spans="1:9" s="11" customFormat="1" ht="15" customHeight="1" x14ac:dyDescent="0.2">
      <c r="A4" s="199" t="str">
        <f>ORÇAMENTO!A4</f>
        <v>REFORMA ESTRUTURAL E ADEQUAÇÃO DO FILTRO N° 2 - ETA VILA PUREZA</v>
      </c>
      <c r="B4" s="200"/>
      <c r="C4" s="200"/>
      <c r="D4" s="200"/>
      <c r="E4" s="200"/>
      <c r="F4" s="200"/>
      <c r="G4" s="200"/>
      <c r="H4" s="201"/>
    </row>
    <row r="5" spans="1:9" s="11" customFormat="1" ht="7.5" customHeight="1" x14ac:dyDescent="0.2">
      <c r="A5" s="61"/>
      <c r="B5" s="51"/>
      <c r="C5" s="51"/>
      <c r="D5" s="51"/>
      <c r="E5" s="51"/>
      <c r="F5" s="51"/>
      <c r="G5" s="51"/>
      <c r="H5" s="51"/>
      <c r="I5" s="27"/>
    </row>
    <row r="6" spans="1:9" s="11" customFormat="1" ht="15" customHeight="1" x14ac:dyDescent="0.2">
      <c r="A6" s="69" t="s">
        <v>61</v>
      </c>
      <c r="B6" s="70"/>
      <c r="C6" s="71"/>
      <c r="D6" s="71"/>
      <c r="E6" s="51"/>
      <c r="F6" s="85"/>
      <c r="G6" s="72" t="s">
        <v>66</v>
      </c>
      <c r="H6" s="73" t="s">
        <v>65</v>
      </c>
      <c r="I6" s="27"/>
    </row>
    <row r="7" spans="1:9" s="11" customFormat="1" ht="15" customHeight="1" x14ac:dyDescent="0.2">
      <c r="A7" s="199" t="str">
        <f>ORÇAMENTO!A7</f>
        <v>RUA DR. CARLOS BOTELHO, N° 1201, VILA PUREZA, SÃO CARLOS, SP</v>
      </c>
      <c r="B7" s="200"/>
      <c r="C7" s="200"/>
      <c r="D7" s="200"/>
      <c r="E7" s="200"/>
      <c r="F7" s="201"/>
      <c r="G7" s="84">
        <f>ORÇAMENTO!J7</f>
        <v>45413</v>
      </c>
      <c r="H7" s="76" t="str">
        <f>ORÇAMENTO!K7</f>
        <v>03</v>
      </c>
      <c r="I7" s="27"/>
    </row>
    <row r="8" spans="1:9" ht="7.5" customHeight="1" x14ac:dyDescent="0.2">
      <c r="A8" s="9"/>
      <c r="B8" s="9"/>
      <c r="C8" s="9"/>
      <c r="D8" s="165"/>
      <c r="E8" s="9"/>
      <c r="F8" s="9"/>
      <c r="G8" s="9"/>
      <c r="H8" s="9"/>
    </row>
    <row r="9" spans="1:9" ht="15" customHeight="1" x14ac:dyDescent="0.2">
      <c r="A9" s="259" t="s">
        <v>70</v>
      </c>
      <c r="B9" s="260"/>
      <c r="C9" s="260"/>
      <c r="D9" s="260"/>
      <c r="E9" s="260"/>
      <c r="F9" s="260"/>
      <c r="G9" s="260"/>
      <c r="H9" s="44">
        <v>1</v>
      </c>
    </row>
    <row r="10" spans="1:9" ht="15" customHeight="1" x14ac:dyDescent="0.2">
      <c r="A10" s="261" t="s">
        <v>71</v>
      </c>
      <c r="B10" s="262"/>
      <c r="C10" s="262"/>
      <c r="D10" s="262"/>
      <c r="E10" s="262"/>
      <c r="F10" s="262"/>
      <c r="G10" s="262"/>
      <c r="H10" s="89">
        <v>0.02</v>
      </c>
    </row>
    <row r="11" spans="1:9" ht="15" customHeight="1" x14ac:dyDescent="0.2">
      <c r="A11" s="90"/>
      <c r="B11" s="90"/>
      <c r="C11" s="90"/>
      <c r="D11" s="90"/>
      <c r="E11" s="90"/>
      <c r="F11" s="90"/>
      <c r="G11" s="90"/>
      <c r="H11" s="49"/>
    </row>
    <row r="12" spans="1:9" ht="15" customHeight="1" x14ac:dyDescent="0.2">
      <c r="A12" s="9"/>
      <c r="B12" s="9"/>
      <c r="C12" s="9"/>
      <c r="D12" s="165"/>
      <c r="E12" s="9"/>
      <c r="F12" s="9"/>
      <c r="G12" s="9"/>
      <c r="H12" s="9"/>
    </row>
    <row r="13" spans="1:9" ht="15" customHeight="1" x14ac:dyDescent="0.2">
      <c r="A13" s="248" t="s">
        <v>62</v>
      </c>
      <c r="B13" s="249"/>
      <c r="C13" s="249"/>
      <c r="D13" s="249"/>
      <c r="E13" s="249"/>
      <c r="F13" s="249"/>
      <c r="G13" s="249"/>
      <c r="H13" s="250"/>
    </row>
    <row r="14" spans="1:9" ht="7.5" customHeight="1" x14ac:dyDescent="0.2">
      <c r="A14" s="9"/>
      <c r="B14" s="9"/>
      <c r="C14" s="9"/>
      <c r="D14" s="165"/>
      <c r="E14" s="9"/>
      <c r="F14" s="9"/>
      <c r="G14" s="9"/>
      <c r="H14" s="9"/>
    </row>
    <row r="15" spans="1:9" x14ac:dyDescent="0.2">
      <c r="A15" s="69" t="s">
        <v>69</v>
      </c>
      <c r="B15" s="40"/>
      <c r="C15" s="40"/>
      <c r="D15" s="59"/>
      <c r="E15" s="40"/>
      <c r="F15" s="257" t="s">
        <v>58</v>
      </c>
      <c r="G15" s="257"/>
      <c r="H15" s="258"/>
    </row>
    <row r="16" spans="1:9" x14ac:dyDescent="0.2">
      <c r="A16" s="253" t="s">
        <v>46</v>
      </c>
      <c r="B16" s="254"/>
      <c r="C16" s="254"/>
      <c r="D16" s="254"/>
      <c r="E16" s="254"/>
      <c r="F16" s="254"/>
      <c r="G16" s="254"/>
      <c r="H16" s="255"/>
    </row>
    <row r="17" spans="1:8" x14ac:dyDescent="0.2">
      <c r="A17" s="9"/>
      <c r="B17" s="9"/>
      <c r="C17" s="9"/>
      <c r="D17" s="165"/>
      <c r="E17" s="9"/>
      <c r="F17" s="9"/>
      <c r="G17" s="9"/>
      <c r="H17" s="9"/>
    </row>
    <row r="18" spans="1:8" x14ac:dyDescent="0.2">
      <c r="A18" s="251" t="s">
        <v>57</v>
      </c>
      <c r="B18" s="251"/>
      <c r="C18" s="251"/>
      <c r="D18" s="251"/>
      <c r="E18" s="48"/>
      <c r="F18" s="252" t="s">
        <v>56</v>
      </c>
      <c r="G18" s="252"/>
      <c r="H18" s="252"/>
    </row>
    <row r="19" spans="1:8" s="20" customFormat="1" x14ac:dyDescent="0.2">
      <c r="A19" s="166" t="s">
        <v>40</v>
      </c>
      <c r="B19" s="256" t="s">
        <v>41</v>
      </c>
      <c r="C19" s="256"/>
      <c r="D19" s="166" t="s">
        <v>3</v>
      </c>
      <c r="E19" s="40"/>
      <c r="F19" s="166" t="s">
        <v>42</v>
      </c>
      <c r="G19" s="166" t="s">
        <v>24</v>
      </c>
      <c r="H19" s="166" t="s">
        <v>37</v>
      </c>
    </row>
    <row r="20" spans="1:8" s="20" customFormat="1" x14ac:dyDescent="0.2">
      <c r="A20" s="162" t="s">
        <v>25</v>
      </c>
      <c r="B20" s="234" t="s">
        <v>26</v>
      </c>
      <c r="C20" s="234"/>
      <c r="D20" s="41">
        <v>0.04</v>
      </c>
      <c r="E20" s="40"/>
      <c r="F20" s="45">
        <v>0.03</v>
      </c>
      <c r="G20" s="45">
        <v>0.04</v>
      </c>
      <c r="H20" s="45">
        <v>5.5E-2</v>
      </c>
    </row>
    <row r="21" spans="1:8" s="20" customFormat="1" x14ac:dyDescent="0.2">
      <c r="A21" s="161" t="s">
        <v>38</v>
      </c>
      <c r="B21" s="237" t="s">
        <v>43</v>
      </c>
      <c r="C21" s="237"/>
      <c r="D21" s="43">
        <v>0.01</v>
      </c>
      <c r="E21" s="40"/>
      <c r="F21" s="46">
        <v>8.0000000000000002E-3</v>
      </c>
      <c r="G21" s="46">
        <v>8.0000000000000002E-3</v>
      </c>
      <c r="H21" s="46">
        <v>0.01</v>
      </c>
    </row>
    <row r="22" spans="1:8" s="20" customFormat="1" x14ac:dyDescent="0.2">
      <c r="A22" s="162" t="s">
        <v>29</v>
      </c>
      <c r="B22" s="234" t="s">
        <v>30</v>
      </c>
      <c r="C22" s="234"/>
      <c r="D22" s="41">
        <v>1.2699999999999999E-2</v>
      </c>
      <c r="E22" s="40"/>
      <c r="F22" s="45">
        <v>9.7000000000000003E-3</v>
      </c>
      <c r="G22" s="45">
        <v>1.2699999999999999E-2</v>
      </c>
      <c r="H22" s="45">
        <v>1.2699999999999999E-2</v>
      </c>
    </row>
    <row r="23" spans="1:8" s="20" customFormat="1" x14ac:dyDescent="0.2">
      <c r="A23" s="161" t="s">
        <v>27</v>
      </c>
      <c r="B23" s="237" t="s">
        <v>28</v>
      </c>
      <c r="C23" s="237"/>
      <c r="D23" s="43">
        <v>1.23E-2</v>
      </c>
      <c r="E23" s="40"/>
      <c r="F23" s="46">
        <v>5.8999999999999999E-3</v>
      </c>
      <c r="G23" s="46">
        <v>1.23E-2</v>
      </c>
      <c r="H23" s="46">
        <v>1.3899999999999999E-2</v>
      </c>
    </row>
    <row r="24" spans="1:8" s="20" customFormat="1" x14ac:dyDescent="0.2">
      <c r="A24" s="162" t="s">
        <v>31</v>
      </c>
      <c r="B24" s="234" t="s">
        <v>32</v>
      </c>
      <c r="C24" s="234"/>
      <c r="D24" s="38">
        <v>8.4000000000000005E-2</v>
      </c>
      <c r="E24" s="40"/>
      <c r="F24" s="45">
        <v>6.1600000000000002E-2</v>
      </c>
      <c r="G24" s="45">
        <v>7.3999999999999996E-2</v>
      </c>
      <c r="H24" s="45">
        <v>8.9599999999999999E-2</v>
      </c>
    </row>
    <row r="25" spans="1:8" s="20" customFormat="1" x14ac:dyDescent="0.2">
      <c r="A25" s="161" t="s">
        <v>33</v>
      </c>
      <c r="B25" s="237" t="s">
        <v>44</v>
      </c>
      <c r="C25" s="237"/>
      <c r="D25" s="42">
        <v>3.6499999999999998E-2</v>
      </c>
      <c r="E25" s="40"/>
      <c r="F25" s="46">
        <v>3.6499999999999998E-2</v>
      </c>
      <c r="G25" s="46">
        <v>3.6499999999999998E-2</v>
      </c>
      <c r="H25" s="46">
        <v>3.6499999999999998E-2</v>
      </c>
    </row>
    <row r="26" spans="1:8" s="20" customFormat="1" x14ac:dyDescent="0.2">
      <c r="A26" s="162" t="s">
        <v>34</v>
      </c>
      <c r="B26" s="234" t="s">
        <v>53</v>
      </c>
      <c r="C26" s="234"/>
      <c r="D26" s="38">
        <f>H10*H9</f>
        <v>0.02</v>
      </c>
      <c r="E26" s="40"/>
      <c r="F26" s="45">
        <v>0</v>
      </c>
      <c r="G26" s="45">
        <v>2.5000000000000001E-2</v>
      </c>
      <c r="H26" s="45">
        <v>0.05</v>
      </c>
    </row>
    <row r="27" spans="1:8" s="20" customFormat="1" x14ac:dyDescent="0.2">
      <c r="A27" s="161" t="s">
        <v>35</v>
      </c>
      <c r="B27" s="237" t="s">
        <v>45</v>
      </c>
      <c r="C27" s="237"/>
      <c r="D27" s="42">
        <v>4.4999999999999998E-2</v>
      </c>
      <c r="E27" s="40"/>
      <c r="F27" s="46">
        <v>0</v>
      </c>
      <c r="G27" s="46">
        <v>4.4999999999999998E-2</v>
      </c>
      <c r="H27" s="46">
        <v>4.4999999999999998E-2</v>
      </c>
    </row>
    <row r="28" spans="1:8" s="20" customFormat="1" ht="16.5" customHeight="1" x14ac:dyDescent="0.2">
      <c r="A28" s="116" t="s">
        <v>39</v>
      </c>
      <c r="B28" s="117" t="s">
        <v>54</v>
      </c>
      <c r="C28" s="116"/>
      <c r="D28" s="118">
        <f>ROUND((((1+D20+D21+D22)*(1+D23)*(1+D24)/(1-(D25+D26)))-1),4)</f>
        <v>0.23599999999999999</v>
      </c>
      <c r="E28" s="40"/>
      <c r="F28" s="47">
        <v>0.2034</v>
      </c>
      <c r="G28" s="47">
        <v>0.22120000000000001</v>
      </c>
      <c r="H28" s="47">
        <v>0.25</v>
      </c>
    </row>
    <row r="29" spans="1:8" x14ac:dyDescent="0.2">
      <c r="A29" s="119" t="s">
        <v>39</v>
      </c>
      <c r="B29" s="120" t="s">
        <v>55</v>
      </c>
      <c r="C29" s="119"/>
      <c r="D29" s="121">
        <f>ROUND((((1+D20+D21+D22)*(1+D23)*(1+D24)/(1-(D25+D26+D27)))-1),4)</f>
        <v>0.2979</v>
      </c>
      <c r="E29" s="40"/>
      <c r="F29" s="242"/>
      <c r="G29" s="242"/>
      <c r="H29" s="242"/>
    </row>
    <row r="30" spans="1:8" x14ac:dyDescent="0.2">
      <c r="A30" s="13" t="e">
        <f>IF(AND(#REF!=FALSE,#REF!=FALSE),"S E L E C I O N E   U M   B D I !",IF(AND(#REF!=TRUE,#REF!=FALSE),CONCATENATE("O VALOR DO BDI 1 ADOTADO É: ",D28*100,"%."),IF(AND(#REF!=FALSE,#REF!=TRUE),CONCATENATE("O VALOR DO BDI ADOTADO É: ",D29*100,"%."),"S E L E C I O N E   A P E N A S   U M A   O P Ç Ã O   D E   B D I !")))</f>
        <v>#REF!</v>
      </c>
      <c r="B30" s="9"/>
      <c r="C30" s="9"/>
      <c r="D30" s="165"/>
      <c r="E30" s="9"/>
      <c r="F30" s="243" t="s">
        <v>58</v>
      </c>
      <c r="G30" s="243"/>
      <c r="H30" s="243"/>
    </row>
    <row r="31" spans="1:8" x14ac:dyDescent="0.2">
      <c r="A31" s="13"/>
      <c r="B31" s="9"/>
      <c r="C31" s="9"/>
      <c r="D31" s="165"/>
      <c r="E31" s="9"/>
      <c r="F31" s="83"/>
      <c r="G31" s="83"/>
      <c r="H31" s="83"/>
    </row>
    <row r="33" spans="1:8" ht="18" x14ac:dyDescent="0.2">
      <c r="A33" s="248" t="s">
        <v>63</v>
      </c>
      <c r="B33" s="249"/>
      <c r="C33" s="249"/>
      <c r="D33" s="249"/>
      <c r="E33" s="249"/>
      <c r="F33" s="249"/>
      <c r="G33" s="249"/>
      <c r="H33" s="250"/>
    </row>
    <row r="34" spans="1:8" x14ac:dyDescent="0.2">
      <c r="A34" s="9"/>
      <c r="B34" s="9"/>
      <c r="C34" s="9"/>
      <c r="D34" s="165"/>
      <c r="E34" s="9"/>
      <c r="F34" s="9"/>
      <c r="G34" s="9"/>
      <c r="H34" s="9"/>
    </row>
    <row r="35" spans="1:8" x14ac:dyDescent="0.2">
      <c r="A35" s="69" t="s">
        <v>69</v>
      </c>
      <c r="B35" s="40"/>
      <c r="C35" s="40"/>
      <c r="D35" s="59"/>
      <c r="E35" s="40"/>
      <c r="F35" s="257" t="s">
        <v>58</v>
      </c>
      <c r="G35" s="257"/>
      <c r="H35" s="258"/>
    </row>
    <row r="36" spans="1:8" x14ac:dyDescent="0.2">
      <c r="A36" s="253" t="s">
        <v>47</v>
      </c>
      <c r="B36" s="254"/>
      <c r="C36" s="254"/>
      <c r="D36" s="254"/>
      <c r="E36" s="254"/>
      <c r="F36" s="254"/>
      <c r="G36" s="254"/>
      <c r="H36" s="255"/>
    </row>
    <row r="37" spans="1:8" x14ac:dyDescent="0.2">
      <c r="A37" s="9"/>
      <c r="B37" s="9"/>
      <c r="C37" s="9"/>
      <c r="D37" s="165"/>
      <c r="E37" s="9"/>
      <c r="F37" s="9"/>
      <c r="G37" s="9"/>
      <c r="H37" s="9"/>
    </row>
    <row r="38" spans="1:8" x14ac:dyDescent="0.2">
      <c r="A38" s="251" t="s">
        <v>57</v>
      </c>
      <c r="B38" s="251"/>
      <c r="C38" s="251"/>
      <c r="D38" s="251"/>
      <c r="E38" s="48"/>
      <c r="F38" s="252" t="s">
        <v>56</v>
      </c>
      <c r="G38" s="252"/>
      <c r="H38" s="252"/>
    </row>
    <row r="39" spans="1:8" x14ac:dyDescent="0.2">
      <c r="A39" s="166" t="s">
        <v>40</v>
      </c>
      <c r="B39" s="256" t="s">
        <v>41</v>
      </c>
      <c r="C39" s="256"/>
      <c r="D39" s="166" t="s">
        <v>3</v>
      </c>
      <c r="E39" s="40"/>
      <c r="F39" s="166" t="s">
        <v>42</v>
      </c>
      <c r="G39" s="166" t="s">
        <v>24</v>
      </c>
      <c r="H39" s="166" t="s">
        <v>37</v>
      </c>
    </row>
    <row r="40" spans="1:8" x14ac:dyDescent="0.2">
      <c r="A40" s="162" t="s">
        <v>25</v>
      </c>
      <c r="B40" s="234" t="s">
        <v>26</v>
      </c>
      <c r="C40" s="234"/>
      <c r="D40" s="41">
        <v>3.4500000000000003E-2</v>
      </c>
      <c r="E40" s="40"/>
      <c r="F40" s="45">
        <v>1.4999999999999999E-2</v>
      </c>
      <c r="G40" s="45">
        <v>3.4500000000000003E-2</v>
      </c>
      <c r="H40" s="45">
        <v>4.4900000000000002E-2</v>
      </c>
    </row>
    <row r="41" spans="1:8" x14ac:dyDescent="0.2">
      <c r="A41" s="161" t="s">
        <v>38</v>
      </c>
      <c r="B41" s="237" t="s">
        <v>43</v>
      </c>
      <c r="C41" s="237"/>
      <c r="D41" s="43">
        <v>4.7999999999999996E-3</v>
      </c>
      <c r="E41" s="40"/>
      <c r="F41" s="46">
        <v>3.0000000000000001E-3</v>
      </c>
      <c r="G41" s="46">
        <v>4.7999999999999996E-3</v>
      </c>
      <c r="H41" s="46">
        <v>8.2000000000000007E-3</v>
      </c>
    </row>
    <row r="42" spans="1:8" x14ac:dyDescent="0.2">
      <c r="A42" s="162" t="s">
        <v>29</v>
      </c>
      <c r="B42" s="234" t="s">
        <v>30</v>
      </c>
      <c r="C42" s="234"/>
      <c r="D42" s="41">
        <v>8.5000000000000006E-3</v>
      </c>
      <c r="E42" s="40"/>
      <c r="F42" s="45">
        <v>5.5999999999999999E-3</v>
      </c>
      <c r="G42" s="45">
        <v>8.5000000000000006E-3</v>
      </c>
      <c r="H42" s="45">
        <v>8.8999999999999999E-3</v>
      </c>
    </row>
    <row r="43" spans="1:8" x14ac:dyDescent="0.2">
      <c r="A43" s="161" t="s">
        <v>27</v>
      </c>
      <c r="B43" s="237" t="s">
        <v>28</v>
      </c>
      <c r="C43" s="237"/>
      <c r="D43" s="43">
        <v>8.5000000000000006E-3</v>
      </c>
      <c r="E43" s="40"/>
      <c r="F43" s="46">
        <v>8.5000000000000006E-3</v>
      </c>
      <c r="G43" s="46">
        <v>8.5000000000000006E-3</v>
      </c>
      <c r="H43" s="46">
        <v>1.11E-2</v>
      </c>
    </row>
    <row r="44" spans="1:8" x14ac:dyDescent="0.2">
      <c r="A44" s="162" t="s">
        <v>31</v>
      </c>
      <c r="B44" s="234" t="s">
        <v>32</v>
      </c>
      <c r="C44" s="234"/>
      <c r="D44" s="38">
        <v>0.06</v>
      </c>
      <c r="E44" s="40"/>
      <c r="F44" s="45">
        <v>3.5000000000000003E-2</v>
      </c>
      <c r="G44" s="45">
        <v>5.11E-2</v>
      </c>
      <c r="H44" s="45">
        <v>6.2199999999999998E-2</v>
      </c>
    </row>
    <row r="45" spans="1:8" x14ac:dyDescent="0.2">
      <c r="A45" s="161" t="s">
        <v>33</v>
      </c>
      <c r="B45" s="237" t="s">
        <v>44</v>
      </c>
      <c r="C45" s="237"/>
      <c r="D45" s="42">
        <v>0</v>
      </c>
      <c r="E45" s="40"/>
      <c r="F45" s="46">
        <v>0</v>
      </c>
      <c r="G45" s="46">
        <v>0</v>
      </c>
      <c r="H45" s="46">
        <v>0</v>
      </c>
    </row>
    <row r="46" spans="1:8" x14ac:dyDescent="0.2">
      <c r="A46" s="162" t="s">
        <v>34</v>
      </c>
      <c r="B46" s="234" t="s">
        <v>53</v>
      </c>
      <c r="C46" s="234"/>
      <c r="D46" s="38">
        <v>0.02</v>
      </c>
      <c r="E46" s="40"/>
      <c r="F46" s="45">
        <v>0</v>
      </c>
      <c r="G46" s="45">
        <v>2.5000000000000001E-2</v>
      </c>
      <c r="H46" s="45">
        <v>0.05</v>
      </c>
    </row>
    <row r="47" spans="1:8" x14ac:dyDescent="0.2">
      <c r="A47" s="161" t="s">
        <v>35</v>
      </c>
      <c r="B47" s="237" t="s">
        <v>45</v>
      </c>
      <c r="C47" s="237"/>
      <c r="D47" s="42"/>
      <c r="E47" s="40"/>
      <c r="F47" s="46">
        <v>0</v>
      </c>
      <c r="G47" s="46">
        <v>4.4999999999999998E-2</v>
      </c>
      <c r="H47" s="46">
        <v>4.4999999999999998E-2</v>
      </c>
    </row>
    <row r="48" spans="1:8" x14ac:dyDescent="0.2">
      <c r="A48" s="116" t="s">
        <v>39</v>
      </c>
      <c r="B48" s="117" t="s">
        <v>54</v>
      </c>
      <c r="C48" s="116"/>
      <c r="D48" s="118">
        <v>0.14299999999999999</v>
      </c>
      <c r="E48" s="40"/>
      <c r="F48" s="47">
        <v>0.111</v>
      </c>
      <c r="G48" s="47">
        <v>0.14019999999999999</v>
      </c>
      <c r="H48" s="47">
        <v>0.16800000000000001</v>
      </c>
    </row>
    <row r="49" spans="1:8" x14ac:dyDescent="0.2">
      <c r="A49" s="119"/>
      <c r="B49" s="120"/>
      <c r="C49" s="119"/>
      <c r="D49" s="121"/>
      <c r="E49" s="40"/>
      <c r="F49" s="242"/>
      <c r="G49" s="242"/>
      <c r="H49" s="242"/>
    </row>
    <row r="50" spans="1:8" x14ac:dyDescent="0.2">
      <c r="A50" s="13" t="e">
        <f>IF(AND(#REF!=FALSE,#REF!=FALSE),"S E L E C I O N E   U M   B D I !",IF(AND(#REF!=TRUE,#REF!=FALSE),CONCATENATE("O VALOR DO BDI 2 ADOTADO É: ",D48*100,"%."),IF(AND(#REF!=FALSE,#REF!=TRUE),CONCATENATE("O VALOR DO BDI ADOTADO É: ",D49*100,"%."),"S E L E C I O N E   A P E N A S   U M A   O P Ç Ã O   D E   B D I !")))</f>
        <v>#REF!</v>
      </c>
      <c r="B50" s="9"/>
      <c r="C50" s="9"/>
      <c r="D50" s="165"/>
      <c r="E50" s="9"/>
      <c r="F50" s="243" t="s">
        <v>58</v>
      </c>
      <c r="G50" s="243"/>
      <c r="H50" s="243"/>
    </row>
    <row r="51" spans="1:8" x14ac:dyDescent="0.2">
      <c r="A51" s="13"/>
      <c r="B51" s="9"/>
      <c r="C51" s="9"/>
      <c r="D51" s="165"/>
      <c r="E51" s="9"/>
      <c r="F51" s="83"/>
      <c r="G51" s="83"/>
      <c r="H51" s="83"/>
    </row>
    <row r="53" spans="1:8" x14ac:dyDescent="0.2">
      <c r="A53" s="235" t="s">
        <v>36</v>
      </c>
      <c r="B53" s="235"/>
      <c r="C53" s="235"/>
      <c r="D53" s="235"/>
      <c r="E53" s="235"/>
      <c r="F53" s="235"/>
      <c r="G53" s="235"/>
      <c r="H53" s="235"/>
    </row>
    <row r="54" spans="1:8" x14ac:dyDescent="0.2">
      <c r="A54" s="9"/>
      <c r="B54" s="9"/>
      <c r="C54" s="9"/>
      <c r="D54" s="165"/>
      <c r="E54" s="9"/>
      <c r="F54" s="9"/>
      <c r="G54" s="9"/>
      <c r="H54" s="9"/>
    </row>
    <row r="55" spans="1:8" x14ac:dyDescent="0.2">
      <c r="A55" s="9"/>
      <c r="B55" s="9"/>
      <c r="C55" s="9"/>
      <c r="D55" s="165"/>
      <c r="E55" s="9"/>
      <c r="F55" s="9"/>
      <c r="G55" s="9"/>
      <c r="H55" s="9"/>
    </row>
    <row r="56" spans="1:8" x14ac:dyDescent="0.2">
      <c r="A56" s="9"/>
      <c r="B56" s="9"/>
      <c r="C56" s="9"/>
      <c r="D56" s="165"/>
      <c r="E56" s="9"/>
      <c r="F56" s="9"/>
      <c r="G56" s="9"/>
      <c r="H56" s="9"/>
    </row>
    <row r="57" spans="1:8" x14ac:dyDescent="0.2">
      <c r="A57" s="9"/>
      <c r="B57" s="9"/>
      <c r="C57" s="9"/>
      <c r="D57" s="165"/>
      <c r="E57" s="9"/>
      <c r="F57" s="9"/>
      <c r="G57" s="9"/>
      <c r="H57" s="9"/>
    </row>
    <row r="58" spans="1:8" ht="30" customHeight="1" x14ac:dyDescent="0.2">
      <c r="A58" s="244" t="str">
        <f>CONCATENATE("Declaramos para os devidos fins que, conforme legislação municipal, a base de cálculo deste tipo de obra corresponde à ",H9*100,"%, com a respectiva alíquota de ",H10*100,"%.")</f>
        <v>Declaramos para os devidos fins que, conforme legislação municipal, a base de cálculo deste tipo de obra corresponde à 100%, com a respectiva alíquota de 2%.</v>
      </c>
      <c r="B58" s="245"/>
      <c r="C58" s="245"/>
      <c r="D58" s="245"/>
      <c r="E58" s="245"/>
      <c r="F58" s="245"/>
      <c r="G58" s="245"/>
      <c r="H58" s="246"/>
    </row>
    <row r="59" spans="1:8" ht="7.5" customHeight="1" x14ac:dyDescent="0.2"/>
    <row r="60" spans="1:8" ht="30" customHeight="1" x14ac:dyDescent="0.2">
      <c r="A60" s="247" t="s">
        <v>72</v>
      </c>
      <c r="B60" s="245"/>
      <c r="C60" s="245"/>
      <c r="D60" s="245"/>
      <c r="E60" s="245"/>
      <c r="F60" s="245"/>
      <c r="G60" s="245"/>
      <c r="H60" s="246"/>
    </row>
    <row r="61" spans="1:8" x14ac:dyDescent="0.2">
      <c r="A61" s="9"/>
      <c r="B61" s="9"/>
      <c r="C61" s="9"/>
      <c r="D61" s="165"/>
      <c r="E61" s="9"/>
      <c r="F61" s="9"/>
      <c r="G61" s="9"/>
      <c r="H61" s="9"/>
    </row>
    <row r="63" spans="1:8" ht="18" x14ac:dyDescent="0.2">
      <c r="A63" s="248" t="s">
        <v>67</v>
      </c>
      <c r="B63" s="249"/>
      <c r="C63" s="249"/>
      <c r="D63" s="249"/>
      <c r="E63" s="249"/>
      <c r="F63" s="249"/>
      <c r="G63" s="249"/>
      <c r="H63" s="250"/>
    </row>
    <row r="65" spans="1:8" x14ac:dyDescent="0.2">
      <c r="A65" s="251" t="s">
        <v>57</v>
      </c>
      <c r="B65" s="251"/>
      <c r="C65" s="251"/>
      <c r="D65" s="251"/>
      <c r="F65" s="252" t="s">
        <v>56</v>
      </c>
      <c r="G65" s="252"/>
    </row>
    <row r="66" spans="1:8" ht="12.75" customHeight="1" x14ac:dyDescent="0.2">
      <c r="A66" s="164" t="s">
        <v>40</v>
      </c>
      <c r="B66" s="241" t="s">
        <v>41</v>
      </c>
      <c r="C66" s="241"/>
      <c r="D66" s="164" t="s">
        <v>3</v>
      </c>
      <c r="F66" s="166"/>
      <c r="G66" s="166"/>
    </row>
    <row r="67" spans="1:8" x14ac:dyDescent="0.2">
      <c r="A67" s="162" t="s">
        <v>78</v>
      </c>
      <c r="B67" s="234" t="s">
        <v>82</v>
      </c>
      <c r="C67" s="234"/>
      <c r="D67" s="41">
        <v>0.10150000000000001</v>
      </c>
      <c r="F67" s="45" t="s">
        <v>22</v>
      </c>
      <c r="G67" s="130">
        <v>45231</v>
      </c>
    </row>
    <row r="68" spans="1:8" ht="12.75" customHeight="1" x14ac:dyDescent="0.2">
      <c r="A68" s="161" t="s">
        <v>31</v>
      </c>
      <c r="B68" s="237" t="s">
        <v>32</v>
      </c>
      <c r="C68" s="237"/>
      <c r="D68" s="43">
        <v>8.7800000000000003E-2</v>
      </c>
      <c r="F68" s="46" t="s">
        <v>22</v>
      </c>
      <c r="G68" s="131">
        <v>45231</v>
      </c>
    </row>
    <row r="69" spans="1:8" x14ac:dyDescent="0.2">
      <c r="A69" s="163" t="s">
        <v>76</v>
      </c>
      <c r="B69" s="238" t="s">
        <v>79</v>
      </c>
      <c r="C69" s="238"/>
      <c r="D69" s="127">
        <v>6.6199999999999995E-2</v>
      </c>
      <c r="F69" s="129" t="s">
        <v>22</v>
      </c>
      <c r="G69" s="132">
        <v>45231</v>
      </c>
    </row>
    <row r="70" spans="1:8" x14ac:dyDescent="0.2">
      <c r="A70" s="167" t="s">
        <v>80</v>
      </c>
      <c r="B70" s="239" t="s">
        <v>81</v>
      </c>
      <c r="C70" s="239"/>
      <c r="D70" s="128">
        <f>(1+D67)*(1+D68)/(1-D69)-1</f>
        <v>0.28315667166416802</v>
      </c>
    </row>
    <row r="71" spans="1:8" x14ac:dyDescent="0.2">
      <c r="A71" s="163"/>
      <c r="B71" s="238"/>
      <c r="C71" s="238"/>
      <c r="D71" s="133"/>
    </row>
    <row r="72" spans="1:8" x14ac:dyDescent="0.2">
      <c r="A72" s="162"/>
      <c r="B72" s="240" t="s">
        <v>109</v>
      </c>
      <c r="C72" s="240"/>
      <c r="D72" s="134">
        <v>0.28000000000000003</v>
      </c>
    </row>
    <row r="73" spans="1:8" x14ac:dyDescent="0.2">
      <c r="A73" s="162"/>
      <c r="B73" s="234"/>
      <c r="C73" s="234"/>
      <c r="D73" s="38"/>
    </row>
    <row r="74" spans="1:8" x14ac:dyDescent="0.2">
      <c r="A74" s="235" t="s">
        <v>36</v>
      </c>
      <c r="B74" s="235"/>
      <c r="C74" s="235"/>
      <c r="D74" s="235"/>
      <c r="E74" s="235"/>
      <c r="F74" s="235"/>
      <c r="G74" s="235"/>
      <c r="H74" s="235"/>
    </row>
    <row r="75" spans="1:8" x14ac:dyDescent="0.2">
      <c r="A75" s="9"/>
      <c r="B75" s="9"/>
      <c r="C75" s="9"/>
      <c r="D75" s="165"/>
      <c r="E75" s="9"/>
      <c r="F75" s="9"/>
      <c r="G75" s="9"/>
      <c r="H75" s="9"/>
    </row>
    <row r="76" spans="1:8" x14ac:dyDescent="0.2">
      <c r="A76" s="9"/>
      <c r="B76" s="9"/>
      <c r="C76" s="9"/>
      <c r="D76" s="165"/>
      <c r="E76" s="9"/>
      <c r="F76" s="9"/>
      <c r="G76" s="9"/>
      <c r="H76" s="9"/>
    </row>
    <row r="77" spans="1:8" x14ac:dyDescent="0.2">
      <c r="A77" s="9"/>
      <c r="B77" s="9"/>
      <c r="C77" s="9"/>
      <c r="D77" s="165"/>
      <c r="E77" s="9"/>
      <c r="F77" s="9"/>
      <c r="G77" s="9"/>
      <c r="H77" s="9"/>
    </row>
    <row r="78" spans="1:8" x14ac:dyDescent="0.2">
      <c r="A78" s="9" t="s">
        <v>138</v>
      </c>
      <c r="B78" s="9"/>
      <c r="C78" s="9"/>
      <c r="D78" s="165"/>
      <c r="E78" s="9"/>
      <c r="F78" s="9"/>
      <c r="G78" s="9"/>
      <c r="H78" s="9"/>
    </row>
    <row r="79" spans="1:8" x14ac:dyDescent="0.2">
      <c r="A79" s="9"/>
      <c r="B79" s="9"/>
      <c r="C79" s="9"/>
      <c r="D79" s="165"/>
      <c r="E79" s="9"/>
      <c r="F79" s="9"/>
      <c r="G79" s="9"/>
      <c r="H79" s="9"/>
    </row>
    <row r="80" spans="1:8" x14ac:dyDescent="0.2">
      <c r="A80" s="9"/>
      <c r="B80" s="9"/>
      <c r="C80" s="9"/>
      <c r="D80" s="165"/>
      <c r="E80" s="9"/>
      <c r="F80" s="9"/>
      <c r="G80" s="9"/>
      <c r="H80" s="9"/>
    </row>
    <row r="81" spans="1:8" x14ac:dyDescent="0.2">
      <c r="A81" s="236" t="str">
        <f>ORÇAMENTO!A65</f>
        <v>LOCAL E DATA</v>
      </c>
      <c r="B81" s="236"/>
      <c r="C81" s="236"/>
      <c r="D81" s="236"/>
      <c r="E81" s="236"/>
      <c r="F81" s="236"/>
      <c r="G81" s="236"/>
      <c r="H81" s="236"/>
    </row>
    <row r="82" spans="1:8" x14ac:dyDescent="0.2">
      <c r="A82" s="9"/>
      <c r="B82" s="9"/>
      <c r="C82" s="9"/>
      <c r="D82" s="165"/>
      <c r="E82" s="9"/>
      <c r="F82" s="9"/>
      <c r="G82" s="9"/>
      <c r="H82" s="9"/>
    </row>
    <row r="83" spans="1:8" x14ac:dyDescent="0.2">
      <c r="A83" s="9"/>
      <c r="B83" s="9"/>
      <c r="C83" s="9"/>
      <c r="D83" s="165"/>
      <c r="E83" s="9"/>
      <c r="F83" s="9"/>
      <c r="G83" s="9"/>
      <c r="H83" s="9"/>
    </row>
    <row r="84" spans="1:8" x14ac:dyDescent="0.2">
      <c r="A84" s="9"/>
      <c r="B84" s="9"/>
      <c r="C84" s="9"/>
      <c r="D84" s="165"/>
      <c r="E84" s="9"/>
      <c r="F84" s="9"/>
      <c r="G84" s="9"/>
      <c r="H84" s="9"/>
    </row>
    <row r="85" spans="1:8" x14ac:dyDescent="0.2">
      <c r="A85" s="9"/>
      <c r="B85" s="9"/>
      <c r="C85" s="9"/>
      <c r="D85" s="165"/>
      <c r="E85" s="9"/>
      <c r="F85" s="9"/>
      <c r="G85" s="9"/>
      <c r="H85" s="9"/>
    </row>
    <row r="86" spans="1:8" x14ac:dyDescent="0.2">
      <c r="A86" s="9"/>
      <c r="B86" s="9"/>
      <c r="C86" s="9"/>
      <c r="D86" s="165"/>
      <c r="E86" s="9"/>
      <c r="F86" s="9"/>
      <c r="G86" s="9"/>
      <c r="H86" s="9"/>
    </row>
    <row r="115" spans="4:4" ht="12.75" customHeight="1" x14ac:dyDescent="0.2"/>
    <row r="117" spans="4:4" ht="12.75" customHeight="1" x14ac:dyDescent="0.2"/>
    <row r="118" spans="4:4" x14ac:dyDescent="0.2">
      <c r="D118" s="1"/>
    </row>
    <row r="119" spans="4:4" x14ac:dyDescent="0.2">
      <c r="D119" s="1"/>
    </row>
    <row r="120" spans="4:4" x14ac:dyDescent="0.2">
      <c r="D120" s="1"/>
    </row>
  </sheetData>
  <mergeCells count="54">
    <mergeCell ref="F15:H15"/>
    <mergeCell ref="F35:H35"/>
    <mergeCell ref="A13:H13"/>
    <mergeCell ref="A4:H4"/>
    <mergeCell ref="A7:F7"/>
    <mergeCell ref="A9:G9"/>
    <mergeCell ref="A10:G10"/>
    <mergeCell ref="B27:C27"/>
    <mergeCell ref="A16:H16"/>
    <mergeCell ref="A18:D18"/>
    <mergeCell ref="F18:H18"/>
    <mergeCell ref="B19:C19"/>
    <mergeCell ref="B20:C20"/>
    <mergeCell ref="B21:C21"/>
    <mergeCell ref="B22:C22"/>
    <mergeCell ref="B23:C23"/>
    <mergeCell ref="B24:C24"/>
    <mergeCell ref="B25:C25"/>
    <mergeCell ref="B26:C26"/>
    <mergeCell ref="B44:C44"/>
    <mergeCell ref="B39:C39"/>
    <mergeCell ref="B40:C40"/>
    <mergeCell ref="B41:C41"/>
    <mergeCell ref="B42:C42"/>
    <mergeCell ref="B43:C43"/>
    <mergeCell ref="A65:D65"/>
    <mergeCell ref="F65:G65"/>
    <mergeCell ref="F29:H29"/>
    <mergeCell ref="F30:H30"/>
    <mergeCell ref="A33:H33"/>
    <mergeCell ref="A36:H36"/>
    <mergeCell ref="A38:D38"/>
    <mergeCell ref="F38:H38"/>
    <mergeCell ref="F50:H50"/>
    <mergeCell ref="A53:H53"/>
    <mergeCell ref="A58:H58"/>
    <mergeCell ref="A60:H60"/>
    <mergeCell ref="A63:H63"/>
    <mergeCell ref="C1:H1"/>
    <mergeCell ref="A1:B1"/>
    <mergeCell ref="B73:C73"/>
    <mergeCell ref="A74:H74"/>
    <mergeCell ref="A81:H81"/>
    <mergeCell ref="B67:C67"/>
    <mergeCell ref="B68:C68"/>
    <mergeCell ref="B69:C69"/>
    <mergeCell ref="B70:C70"/>
    <mergeCell ref="B71:C71"/>
    <mergeCell ref="B72:C72"/>
    <mergeCell ref="B66:C66"/>
    <mergeCell ref="B45:C45"/>
    <mergeCell ref="B46:C46"/>
    <mergeCell ref="B47:C47"/>
    <mergeCell ref="F49:H49"/>
  </mergeCells>
  <conditionalFormatting sqref="D20:D27 D40:D47">
    <cfRule type="cellIs" dxfId="4" priority="3" operator="notBetween">
      <formula>$F20</formula>
      <formula>$H20</formula>
    </cfRule>
  </conditionalFormatting>
  <conditionalFormatting sqref="D28">
    <cfRule type="cellIs" dxfId="3" priority="4" operator="notBetween">
      <formula>$F$28</formula>
      <formula>$H28</formula>
    </cfRule>
  </conditionalFormatting>
  <conditionalFormatting sqref="A30:D31">
    <cfRule type="expression" dxfId="2" priority="5">
      <formula>OR($A$30="S E L E C I O N E   U M   B D I !",$A$30="S E L E C I O N E   A P E N A S   U M A   O P Ç Ã O   D E   B D I !")</formula>
    </cfRule>
  </conditionalFormatting>
  <conditionalFormatting sqref="D48">
    <cfRule type="cellIs" dxfId="1" priority="1" operator="notBetween">
      <formula>$F$48</formula>
      <formula>$H$48</formula>
    </cfRule>
  </conditionalFormatting>
  <conditionalFormatting sqref="A50:D51">
    <cfRule type="expression" dxfId="0" priority="2">
      <formula>OR($A$30="S E L E C I O N E   U M   B D I !",$A$30="S E L E C I O N E   A P E N A S   U M A   O P Ç Ã O   D E   B D I !")</formula>
    </cfRule>
  </conditionalFormatting>
  <dataValidations count="1">
    <dataValidation type="list" allowBlank="1" showInputMessage="1" showErrorMessage="1" sqref="A16 A36">
      <formula1>TIP_OBRA</formula1>
    </dataValidation>
  </dataValidations>
  <pageMargins left="0.98425196850393704" right="0.39370078740157483" top="0.78740157480314965" bottom="0.78740157480314965" header="0.31496062992125984" footer="0.31496062992125984"/>
  <pageSetup paperSize="9" scale="80" fitToHeight="0" orientation="portrait" r:id="rId1"/>
  <headerFooter>
    <oddFooter>Página &amp;P de &amp;N</oddFooter>
  </headerFooter>
  <rowBreaks count="1" manualBreakCount="1">
    <brk id="61" max="7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361" r:id="rId4" name="Check Box 1">
              <controlPr defaultSize="0" autoFill="0" autoLine="0" autoPict="0" macro="[0]!Clique1_BDI">
                <anchor moveWithCells="1">
                  <from>
                    <xdr:col>0</xdr:col>
                    <xdr:colOff>47625</xdr:colOff>
                    <xdr:row>27</xdr:row>
                    <xdr:rowOff>0</xdr:rowOff>
                  </from>
                  <to>
                    <xdr:col>0</xdr:col>
                    <xdr:colOff>314325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2" r:id="rId5" name="Check Box 2">
              <controlPr defaultSize="0" autoFill="0" autoLine="0" autoPict="0">
                <anchor moveWithCells="1">
                  <from>
                    <xdr:col>0</xdr:col>
                    <xdr:colOff>47625</xdr:colOff>
                    <xdr:row>27</xdr:row>
                    <xdr:rowOff>180975</xdr:rowOff>
                  </from>
                  <to>
                    <xdr:col>0</xdr:col>
                    <xdr:colOff>314325</xdr:colOff>
                    <xdr:row>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3" r:id="rId6" name="Check Box 3">
              <controlPr defaultSize="0" autoFill="0" autoLine="0" autoPict="0" macro="[0]!Clique1_BDI">
                <anchor moveWithCells="1">
                  <from>
                    <xdr:col>0</xdr:col>
                    <xdr:colOff>47625</xdr:colOff>
                    <xdr:row>47</xdr:row>
                    <xdr:rowOff>0</xdr:rowOff>
                  </from>
                  <to>
                    <xdr:col>0</xdr:col>
                    <xdr:colOff>314325</xdr:colOff>
                    <xdr:row>48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6</vt:i4>
      </vt:variant>
    </vt:vector>
  </HeadingPairs>
  <TitlesOfParts>
    <vt:vector size="9" baseType="lpstr">
      <vt:lpstr>ORÇAMENTO</vt:lpstr>
      <vt:lpstr>CRONOGRAMA</vt:lpstr>
      <vt:lpstr>BDI</vt:lpstr>
      <vt:lpstr>BDI!Area_de_impressao</vt:lpstr>
      <vt:lpstr>CRONOGRAMA!Area_de_impressao</vt:lpstr>
      <vt:lpstr>ORÇAMENTO!Area_de_impressao</vt:lpstr>
      <vt:lpstr>PO</vt:lpstr>
      <vt:lpstr>BDI!Titulos_de_impressao</vt:lpstr>
      <vt:lpstr>ORÇAMENTO!Titulos_de_impressao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gpp002</cp:lastModifiedBy>
  <cp:revision>4</cp:revision>
  <cp:lastPrinted>2024-05-17T10:48:59Z</cp:lastPrinted>
  <dcterms:created xsi:type="dcterms:W3CDTF">2009-09-26T22:55:12Z</dcterms:created>
  <dcterms:modified xsi:type="dcterms:W3CDTF">2024-06-17T20:25:20Z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