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ICITAÇÕES\EDITAIS DE PREGÃO ELETRÔNICO\Editais de Pregão Eletrônico 2025\Substituição Interceptor Esgoto UFSCar - Proc 5220-23 - PE 004-24 Ampla\"/>
    </mc:Choice>
  </mc:AlternateContent>
  <bookViews>
    <workbookView xWindow="0" yWindow="0" windowWidth="14745" windowHeight="11025"/>
  </bookViews>
  <sheets>
    <sheet name="ORÇAMENTO" sheetId="1" r:id="rId1"/>
    <sheet name="CRONOGRAMA" sheetId="4" r:id="rId2"/>
    <sheet name="BDI (forn mater)" sheetId="5" r:id="rId3"/>
    <sheet name="BDI" sheetId="3" r:id="rId4"/>
  </sheets>
  <externalReferences>
    <externalReference r:id="rId5"/>
  </externalReferences>
  <definedNames>
    <definedName name="_xlnm.Print_Area" localSheetId="3">BDI!$A$1:$L$49</definedName>
    <definedName name="_xlnm.Print_Area" localSheetId="2">'BDI (forn mater)'!$A$1:$L$49</definedName>
    <definedName name="_xlnm.Print_Area" localSheetId="1">CRONOGRAMA!$A$1:$I$48</definedName>
    <definedName name="_xlnm.Print_Area" localSheetId="0">ORÇAMENTO!$A$1:$J$92</definedName>
    <definedName name="PLANILHA">ORÇAMENTO!$A$5:$J$79</definedName>
    <definedName name="PO">[1]ORÇAMENTO!$A$10:$K$207</definedName>
    <definedName name="_xlnm.Print_Titles" localSheetId="0">ORÇAMENTO!$1:$4</definedName>
  </definedNames>
  <calcPr calcId="152511"/>
</workbook>
</file>

<file path=xl/calcChain.xml><?xml version="1.0" encoding="utf-8"?>
<calcChain xmlns="http://schemas.openxmlformats.org/spreadsheetml/2006/main">
  <c r="C41" i="5" l="1"/>
  <c r="C40" i="5"/>
  <c r="J40" i="5" s="1"/>
  <c r="E44" i="5" s="1"/>
  <c r="E27" i="5"/>
  <c r="B9" i="5"/>
  <c r="H31" i="1"/>
  <c r="H30" i="1"/>
  <c r="F64" i="1"/>
  <c r="F69" i="1"/>
  <c r="F67" i="1"/>
  <c r="H62" i="1"/>
  <c r="H16" i="1"/>
  <c r="H15" i="1"/>
  <c r="F75" i="1" l="1"/>
  <c r="I31" i="1" l="1"/>
  <c r="B31" i="4"/>
  <c r="B29" i="4"/>
  <c r="B27" i="4"/>
  <c r="B25" i="4"/>
  <c r="B23" i="4"/>
  <c r="B21" i="4"/>
  <c r="B19" i="4"/>
  <c r="B17" i="4"/>
  <c r="B15" i="4"/>
  <c r="B13" i="4"/>
  <c r="B11" i="4"/>
  <c r="B9" i="4"/>
  <c r="K30" i="4"/>
  <c r="K32" i="4"/>
  <c r="D7" i="1"/>
  <c r="H79" i="1"/>
  <c r="I79" i="1" s="1"/>
  <c r="H78" i="1"/>
  <c r="I78" i="1" s="1"/>
  <c r="A39" i="4"/>
  <c r="E29" i="4" l="1"/>
  <c r="D29" i="4"/>
  <c r="C29" i="4"/>
  <c r="H77" i="1"/>
  <c r="I77" i="1" s="1"/>
  <c r="H76" i="1"/>
  <c r="I76" i="1" s="1"/>
  <c r="H73" i="1"/>
  <c r="I73" i="1" s="1"/>
  <c r="H75" i="1"/>
  <c r="I75" i="1" s="1"/>
  <c r="H74" i="1"/>
  <c r="I74" i="1" s="1"/>
  <c r="H72" i="1"/>
  <c r="I72" i="1" s="1"/>
  <c r="I71" i="1" l="1"/>
  <c r="H31" i="4" s="1"/>
  <c r="K28" i="4"/>
  <c r="K26" i="4"/>
  <c r="K24" i="4"/>
  <c r="K22" i="4"/>
  <c r="K20" i="4"/>
  <c r="K18" i="4"/>
  <c r="K16" i="4"/>
  <c r="K14" i="4"/>
  <c r="K12" i="4"/>
  <c r="K10" i="4"/>
  <c r="E31" i="4"/>
  <c r="D31" i="4"/>
  <c r="C31" i="4"/>
  <c r="D25" i="4"/>
  <c r="C25" i="4"/>
  <c r="G11" i="4"/>
  <c r="E27" i="3" l="1"/>
  <c r="C41" i="3" s="1"/>
  <c r="B9" i="3"/>
  <c r="C40" i="3"/>
  <c r="J40" i="3" l="1"/>
  <c r="E44" i="3" s="1"/>
  <c r="H69" i="1"/>
  <c r="I30" i="1" l="1"/>
  <c r="H29" i="1"/>
  <c r="I29" i="1" s="1"/>
  <c r="H19" i="1"/>
  <c r="I19" i="1" s="1"/>
  <c r="D44" i="1" l="1"/>
  <c r="H23" i="1"/>
  <c r="I23" i="1" s="1"/>
  <c r="H21" i="1"/>
  <c r="I21" i="1" s="1"/>
  <c r="F45" i="1" l="1"/>
  <c r="D46" i="1"/>
  <c r="H46" i="1"/>
  <c r="I46" i="1" s="1"/>
  <c r="H54" i="1"/>
  <c r="I54" i="1" s="1"/>
  <c r="H53" i="1"/>
  <c r="I53" i="1" s="1"/>
  <c r="H47" i="1"/>
  <c r="I47" i="1" s="1"/>
  <c r="H6" i="1"/>
  <c r="D25" i="1"/>
  <c r="D65" i="1"/>
  <c r="D63" i="1"/>
  <c r="H28" i="1"/>
  <c r="I28" i="1" s="1"/>
  <c r="F42" i="1"/>
  <c r="I69" i="1"/>
  <c r="H50" i="1"/>
  <c r="I50" i="1" s="1"/>
  <c r="H55" i="1"/>
  <c r="I55" i="1" s="1"/>
  <c r="H52" i="1"/>
  <c r="I52" i="1" s="1"/>
  <c r="H51" i="1"/>
  <c r="I51" i="1" s="1"/>
  <c r="H49" i="1"/>
  <c r="I49" i="1" s="1"/>
  <c r="H45" i="1"/>
  <c r="H48" i="1"/>
  <c r="I48" i="1" s="1"/>
  <c r="H44" i="1"/>
  <c r="I44" i="1" s="1"/>
  <c r="I45" i="1" l="1"/>
  <c r="I43" i="1" s="1"/>
  <c r="H27" i="4" s="1"/>
  <c r="H64" i="1"/>
  <c r="H65" i="1"/>
  <c r="I65" i="1" s="1"/>
  <c r="H66" i="1"/>
  <c r="I66" i="1" s="1"/>
  <c r="H67" i="1"/>
  <c r="H68" i="1"/>
  <c r="I68" i="1" s="1"/>
  <c r="H70" i="1"/>
  <c r="H63" i="1"/>
  <c r="I63" i="1" s="1"/>
  <c r="I62" i="1"/>
  <c r="C27" i="4" l="1"/>
  <c r="D27" i="4"/>
  <c r="G27" i="4"/>
  <c r="I67" i="1"/>
  <c r="I70" i="1"/>
  <c r="I64" i="1"/>
  <c r="I15" i="1"/>
  <c r="I16" i="1"/>
  <c r="H38" i="1"/>
  <c r="I38" i="1" s="1"/>
  <c r="H10" i="1"/>
  <c r="I10" i="1" s="1"/>
  <c r="H11" i="1"/>
  <c r="I11" i="1" s="1"/>
  <c r="H12" i="1"/>
  <c r="I12" i="1" s="1"/>
  <c r="H13" i="1"/>
  <c r="I13" i="1" s="1"/>
  <c r="H18" i="1"/>
  <c r="I18" i="1" s="1"/>
  <c r="H20" i="1"/>
  <c r="I20" i="1" s="1"/>
  <c r="H22" i="1"/>
  <c r="I22" i="1" s="1"/>
  <c r="H25" i="1"/>
  <c r="I25" i="1" s="1"/>
  <c r="I24" i="1" s="1"/>
  <c r="H17" i="4" s="1"/>
  <c r="H27" i="1"/>
  <c r="I27" i="1" s="1"/>
  <c r="H34" i="1"/>
  <c r="I34" i="1" s="1"/>
  <c r="H35" i="1"/>
  <c r="I35" i="1" s="1"/>
  <c r="H36" i="1"/>
  <c r="I36" i="1" s="1"/>
  <c r="H39" i="1"/>
  <c r="I39" i="1" s="1"/>
  <c r="H41" i="1"/>
  <c r="I41" i="1" s="1"/>
  <c r="H42" i="1"/>
  <c r="H57" i="1"/>
  <c r="I57" i="1" s="1"/>
  <c r="H58" i="1"/>
  <c r="I58" i="1" s="1"/>
  <c r="H59" i="1"/>
  <c r="I59" i="1" s="1"/>
  <c r="H60" i="1"/>
  <c r="I60" i="1" s="1"/>
  <c r="H61" i="1"/>
  <c r="I61" i="1" s="1"/>
  <c r="H9" i="1"/>
  <c r="I9" i="1" s="1"/>
  <c r="H7" i="1"/>
  <c r="I7" i="1" s="1"/>
  <c r="I6" i="1"/>
  <c r="E27" i="4" l="1"/>
  <c r="I56" i="1"/>
  <c r="H29" i="4" s="1"/>
  <c r="F27" i="4"/>
  <c r="I26" i="1"/>
  <c r="I37" i="1"/>
  <c r="I5" i="1"/>
  <c r="I17" i="1"/>
  <c r="H15" i="4" s="1"/>
  <c r="I14" i="1"/>
  <c r="H13" i="4" s="1"/>
  <c r="F17" i="4"/>
  <c r="E17" i="4"/>
  <c r="D17" i="4"/>
  <c r="C17" i="4"/>
  <c r="G17" i="4"/>
  <c r="I33" i="1"/>
  <c r="H21" i="4" s="1"/>
  <c r="I8" i="1"/>
  <c r="H11" i="4" s="1"/>
  <c r="I42" i="1"/>
  <c r="I40" i="1" s="1"/>
  <c r="H25" i="4" s="1"/>
  <c r="H9" i="4" l="1"/>
  <c r="I81" i="1"/>
  <c r="H23" i="4"/>
  <c r="D23" i="4" s="1"/>
  <c r="H19" i="4"/>
  <c r="G29" i="4"/>
  <c r="F29" i="4"/>
  <c r="F25" i="4"/>
  <c r="E25" i="4"/>
  <c r="G25" i="4"/>
  <c r="E15" i="4"/>
  <c r="C15" i="4"/>
  <c r="G15" i="4"/>
  <c r="F15" i="4"/>
  <c r="D15" i="4"/>
  <c r="F11" i="4"/>
  <c r="E11" i="4"/>
  <c r="C11" i="4"/>
  <c r="D11" i="4"/>
  <c r="G13" i="4"/>
  <c r="F13" i="4"/>
  <c r="C13" i="4"/>
  <c r="D13" i="4"/>
  <c r="E13" i="4"/>
  <c r="E21" i="4"/>
  <c r="D21" i="4"/>
  <c r="C21" i="4"/>
  <c r="F21" i="4"/>
  <c r="G21" i="4"/>
  <c r="J31" i="1" l="1"/>
  <c r="C23" i="4"/>
  <c r="G23" i="4"/>
  <c r="F23" i="4"/>
  <c r="H34" i="4"/>
  <c r="I29" i="4" s="1"/>
  <c r="E23" i="4"/>
  <c r="D19" i="4"/>
  <c r="J69" i="1"/>
  <c r="G19" i="4"/>
  <c r="F19" i="4"/>
  <c r="E19" i="4"/>
  <c r="C19" i="4"/>
  <c r="J78" i="1"/>
  <c r="J79" i="1"/>
  <c r="J58" i="1"/>
  <c r="J67" i="1"/>
  <c r="J24" i="1"/>
  <c r="J54" i="1"/>
  <c r="J27" i="1"/>
  <c r="J23" i="1"/>
  <c r="J60" i="1"/>
  <c r="J63" i="1"/>
  <c r="J34" i="1"/>
  <c r="J57" i="1"/>
  <c r="J11" i="1"/>
  <c r="J7" i="1"/>
  <c r="J44" i="1"/>
  <c r="J9" i="1"/>
  <c r="J48" i="1"/>
  <c r="J76" i="1"/>
  <c r="J71" i="1"/>
  <c r="J77" i="1"/>
  <c r="G9" i="4"/>
  <c r="F9" i="4"/>
  <c r="D9" i="4"/>
  <c r="C9" i="4"/>
  <c r="E9" i="4"/>
  <c r="J72" i="1"/>
  <c r="J73" i="1"/>
  <c r="J74" i="1"/>
  <c r="J75" i="1"/>
  <c r="J26" i="1"/>
  <c r="J14" i="1"/>
  <c r="J37" i="1"/>
  <c r="J22" i="1"/>
  <c r="J70" i="1"/>
  <c r="J55" i="1"/>
  <c r="J53" i="1"/>
  <c r="J10" i="1"/>
  <c r="J50" i="1"/>
  <c r="J43" i="1"/>
  <c r="J46" i="1"/>
  <c r="J30" i="1"/>
  <c r="J56" i="1"/>
  <c r="J40" i="1"/>
  <c r="J39" i="1"/>
  <c r="J20" i="1"/>
  <c r="J59" i="1"/>
  <c r="J5" i="1"/>
  <c r="J64" i="1"/>
  <c r="J52" i="1"/>
  <c r="J49" i="1"/>
  <c r="J21" i="1"/>
  <c r="J19" i="1"/>
  <c r="J61" i="1"/>
  <c r="J16" i="1"/>
  <c r="J33" i="1"/>
  <c r="J36" i="1"/>
  <c r="J12" i="1"/>
  <c r="J25" i="1"/>
  <c r="J38" i="1"/>
  <c r="J17" i="1"/>
  <c r="J65" i="1"/>
  <c r="J28" i="1"/>
  <c r="J42" i="1"/>
  <c r="J41" i="1"/>
  <c r="J68" i="1"/>
  <c r="J18" i="1"/>
  <c r="J6" i="1"/>
  <c r="J8" i="1"/>
  <c r="J15" i="1"/>
  <c r="J35" i="1"/>
  <c r="J13" i="1"/>
  <c r="J62" i="1"/>
  <c r="J66" i="1"/>
  <c r="J51" i="1"/>
  <c r="J45" i="1"/>
  <c r="J47" i="1"/>
  <c r="J29" i="1"/>
  <c r="G31" i="4"/>
  <c r="F31" i="4"/>
  <c r="D34" i="4" l="1"/>
  <c r="D35" i="4" s="1"/>
  <c r="E34" i="4"/>
  <c r="E35" i="4" s="1"/>
  <c r="G34" i="4"/>
  <c r="G35" i="4" s="1"/>
  <c r="F34" i="4"/>
  <c r="F35" i="4" s="1"/>
  <c r="C34" i="4"/>
  <c r="C36" i="4" s="1"/>
  <c r="I27" i="4"/>
  <c r="I23" i="4"/>
  <c r="I9" i="4"/>
  <c r="I19" i="4"/>
  <c r="I17" i="4"/>
  <c r="I11" i="4"/>
  <c r="I25" i="4"/>
  <c r="I15" i="4"/>
  <c r="I21" i="4"/>
  <c r="I13" i="4"/>
  <c r="I31" i="4"/>
  <c r="C35" i="4" l="1"/>
  <c r="C37" i="4"/>
  <c r="D36" i="4"/>
  <c r="D37" i="4" s="1"/>
  <c r="I34" i="4"/>
  <c r="E36" i="4" l="1"/>
  <c r="E37" i="4" s="1"/>
  <c r="F36" i="4" l="1"/>
  <c r="G36" i="4" s="1"/>
  <c r="H36" i="4" s="1"/>
  <c r="F37" i="4" l="1"/>
  <c r="G37" i="4"/>
</calcChain>
</file>

<file path=xl/sharedStrings.xml><?xml version="1.0" encoding="utf-8"?>
<sst xmlns="http://schemas.openxmlformats.org/spreadsheetml/2006/main" count="411" uniqueCount="234">
  <si>
    <t>Obra</t>
  </si>
  <si>
    <t>Bancos</t>
  </si>
  <si>
    <t>B.D.I.</t>
  </si>
  <si>
    <t>Encargos Sociais</t>
  </si>
  <si>
    <t>Não Desonerado: embutido nos preços unitário dos insumos de mão de obra, de acordo com as bases.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</si>
  <si>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</si>
  <si>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</si>
  <si>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</si>
  <si>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</si>
  <si>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</si>
  <si>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</si>
  <si>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</si>
  <si>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</si>
  <si>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</si>
  <si>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</si>
  <si>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>CANTEIRO DE OBRAS</t>
  </si>
  <si>
    <t>SINAPI</t>
  </si>
  <si>
    <t>LOCACAO DE CONTAINER 2,30 X 6,00 M, ALT. 2,50 M, COM 1 SANITARIO, PARA ESCRITORIO, COMPLETO, SEM DIVISORIAS INTERNAS (NAO INCLUI MOBILIZACAO/DESMOBILIZACAO)</t>
  </si>
  <si>
    <t>MES</t>
  </si>
  <si>
    <t>m²</t>
  </si>
  <si>
    <t>SERVIÇOS PRELIMINARES</t>
  </si>
  <si>
    <t xml:space="preserve"> 98525 </t>
  </si>
  <si>
    <t>LIMPEZA MECANIZADA DE CAMADA VEGETAL, VEGETAÇÃO E PEQUENAS ÁRVORES (DIÂMETRO DE TRONCO MENOR QUE 0,20 M), COM TRATOR DE ESTEIRAS.AF_05/2018</t>
  </si>
  <si>
    <t xml:space="preserve"> 101124 </t>
  </si>
  <si>
    <t>m³</t>
  </si>
  <si>
    <t xml:space="preserve"> 95875 </t>
  </si>
  <si>
    <t>M3XKM</t>
  </si>
  <si>
    <t>CONE DE SINALIZACAO EM PVC RIGIDO COM FAIXA REFLETIVA, H = 70 / 76 CM</t>
  </si>
  <si>
    <t>UN</t>
  </si>
  <si>
    <t>TELA PLASTICA LARANJA, TIPO TAPUME PARA SINALIZACAO, MALHA RETANGULAR, ROLO 1.20 X 50 M (L X C)</t>
  </si>
  <si>
    <t>M</t>
  </si>
  <si>
    <t>SERVIÇOS TÉCNICOS</t>
  </si>
  <si>
    <t>ESCAVAÇÃO DE VALA</t>
  </si>
  <si>
    <t xml:space="preserve"> 102329 </t>
  </si>
  <si>
    <t>ESCAVAÇÃO MECANIZADA DE VALA COM PROF. MAIOR QUE 1,5 M ATÉ 3,0 M (MÉDIA MONTANTE E JUSANTE/UMA COMPOSIÇÃO POR TRECHO), RETROESCAV. (0,26 M3), LARG. DE 0,8 M A 1,5 M, EM SOLO DE 2A CATEGORIA, EM LOCAIS COM BAIXO NÍVEL DE INTERFERÊNCIA. AF_02/2021</t>
  </si>
  <si>
    <t>ESCORAMENTO DE VALA</t>
  </si>
  <si>
    <t xml:space="preserve"> 5.1 </t>
  </si>
  <si>
    <t xml:space="preserve"> 08.01.100 </t>
  </si>
  <si>
    <t>CPOS</t>
  </si>
  <si>
    <t>FORNECIMENTO E ASSENTAMENTO DE TUBOS</t>
  </si>
  <si>
    <t xml:space="preserve"> 90747 </t>
  </si>
  <si>
    <t>ASSENTAMENTO DE TUBO DE PEAD CORRUGADO DE DUPLA PAREDE PARA REDE COLETORA DE ESGOTO, DN 600 MM, JUNTA ELÁSTICA INTEGRADA (NÃO INCLUI FORNECIMENTO). AF_01/2021</t>
  </si>
  <si>
    <t xml:space="preserve"> 00041782 </t>
  </si>
  <si>
    <t>POÇOS DE VISITA</t>
  </si>
  <si>
    <t xml:space="preserve"> 7.1 </t>
  </si>
  <si>
    <t xml:space="preserve"> 98405 </t>
  </si>
  <si>
    <t>BASE PARA POÇO DE VISITA CIRCULAR PARA  ESGOTO, EM ALVENARIA COM TIJOLOS CERÂMICOS MACIÇOS, DIÂMETRO INTERNO = 1,0 M, PROFUNDIDADE = 1,40 M, EXCLUINDO TAMPÃO. AF_12/2020</t>
  </si>
  <si>
    <t xml:space="preserve"> 00011301 </t>
  </si>
  <si>
    <t>TAMPAO FOFO ARTICULADO, CLASSE B125 CARGA MAX 12,5 T, REDONDO, TAMPA 600 MM (COM INSCRICAO EM RELEVO DO TIPO DE REDE)</t>
  </si>
  <si>
    <t>REATERRO DE VALA</t>
  </si>
  <si>
    <t xml:space="preserve"> 93381 </t>
  </si>
  <si>
    <t>SOLO DE BOTA FORA</t>
  </si>
  <si>
    <t xml:space="preserve"> 9.1 </t>
  </si>
  <si>
    <t>INTERFERÊNCIAS</t>
  </si>
  <si>
    <t xml:space="preserve"> 10.1 </t>
  </si>
  <si>
    <t xml:space="preserve"> 94287 </t>
  </si>
  <si>
    <t>EXECUÇÃO DE SARJETA DE CONCRETO USINADO, MOLDADA  IN LOCO  EM TRECHO RETO, 30 CM BASE X 10 CM ALTURA. AF_06/2016</t>
  </si>
  <si>
    <t xml:space="preserve"> 98522 </t>
  </si>
  <si>
    <t>ALAMBRADO EM MOURÕES DE CONCRETO, COM TELA DE ARAME GALVANIZADO (INCLUSIVE MURETA EM CONCRETO). AF_05/2018</t>
  </si>
  <si>
    <t xml:space="preserve"> 94273 </t>
  </si>
  <si>
    <t>ASSENTAMENTO DE GUIA (MEIO-FIO) EM TRECHO RETO, CONFECCIONADA EM CONCRETO PRÉ-FABRICADO, DIMENSÕES 100X15X13X30 CM (COMPRIMENTO X BASE INFERIOR X BASE SUPERIOR X ALTURA), PARA VIAS URBANAS (USO VIÁRIO). AF_06/2016</t>
  </si>
  <si>
    <t xml:space="preserve"> 00004059 </t>
  </si>
  <si>
    <t>MEIO-FIO OU GUIA DE CONCRETO, PRE-MOLDADO, COMP 1 M, *30 X 12/15* CM (H X L1/L2)</t>
  </si>
  <si>
    <t>SERVIÇOS DE TOPOGRAFIA, LOCACAO, NIVELAMENTO DE EMISSARIO/REDE COLETORA COM AUXILIO DE EQUIPAMENTO TOPOGRAFICO E ADEQUAÇÕES DE PROJETO SE NECESSÁRIO.</t>
  </si>
  <si>
    <t>CADASTRO DE ADUTORAS, COLETORES-TRONCO E INTERCEPTORES (ACIMA DIÂM. 500 MM)</t>
  </si>
  <si>
    <t>ESCAVAÇÃO MECANIZADA DE VALA COM PROF. DE 3,0 M ATÉ 4,5 M (MÉDIA MONTANTE E JUSANTE/UMA COMPOSIÇÃO POR TRECHO), ESCAVADEIRA (1,2 M3), LARG. DE 1,5 M A 2,5 M, EM SOLO DE 2A CATEGORIA, EM LOCAIS COM ALTO NÍVEL DE INTERFERÊNCIA. AF_02/2021</t>
  </si>
  <si>
    <t>SONDAGEM DE REDES E PEÇAS LOCALIZADAS (CAVAS) SEM PAVIMENTAÇÃO</t>
  </si>
  <si>
    <t>UNID.</t>
  </si>
  <si>
    <t>TRANSPORTE COM CAMINHÃO BASCULANTE DE 10 M³, EM VIA URBANA PAVIMENTADA, DMT ATÉ 10 KM (UNIDADE: M3XKM). AF_07/2020</t>
  </si>
  <si>
    <t>ESCAVAÇÃO HORIZONTAL, INCLUINDO CARGA E DESCARGA DE CAMADA VEGETAL COM TRATOR PÁ CARREGADEIRA</t>
  </si>
  <si>
    <t xml:space="preserve"> 4.2</t>
  </si>
  <si>
    <t xml:space="preserve"> 4.3</t>
  </si>
  <si>
    <t xml:space="preserve"> 4.4</t>
  </si>
  <si>
    <t xml:space="preserve"> 7.2</t>
  </si>
  <si>
    <t xml:space="preserve"> 7.3</t>
  </si>
  <si>
    <t xml:space="preserve"> 8.2</t>
  </si>
  <si>
    <t xml:space="preserve"> 9.2</t>
  </si>
  <si>
    <t xml:space="preserve"> 10.2</t>
  </si>
  <si>
    <t xml:space="preserve"> 10.3</t>
  </si>
  <si>
    <t xml:space="preserve"> 10.4</t>
  </si>
  <si>
    <t xml:space="preserve"> 10.5</t>
  </si>
  <si>
    <t xml:space="preserve"> 10.6</t>
  </si>
  <si>
    <t xml:space="preserve"> 10.7</t>
  </si>
  <si>
    <t>M³XKM</t>
  </si>
  <si>
    <t>M³</t>
  </si>
  <si>
    <t xml:space="preserve">RECOMPOSIÇÃO DE BASE E OU SUB-BASE PARA FECHAMENTO DE VALAS DE BRITA GRADUADA SIMPLES - INCLUSO RETIRADA E COLOCAÇÃO DO MATERIAL. AF_12/2020 </t>
  </si>
  <si>
    <t xml:space="preserve">TRANSPORTE COM CAMINHÃO BASCULANTE DE 10 M³, EM VIA URBANA PAVIMENTADA, DMT =10 KM (UNIDADE: M3XKM). (bota fora) </t>
  </si>
  <si>
    <t>TRANSPORTE COM CAMINHÃO BASCULANTE DE 10 M³, EM VIA URBANA PAVIMENTADA, DMT =30 KM (UNIDADE: M3XKM). (pavimento)</t>
  </si>
  <si>
    <t>TRANSPORTE COM CAMINHÃO BASCULANTE DE 10 M³, EM VIA URBANA PAVIMENTADA, DMT =30 KM (UNIDADE: M3XKM). (BGS)</t>
  </si>
  <si>
    <t xml:space="preserve"> 10.8</t>
  </si>
  <si>
    <t xml:space="preserve"> 10.9</t>
  </si>
  <si>
    <t xml:space="preserve"> 10.10</t>
  </si>
  <si>
    <t xml:space="preserve"> 10.11</t>
  </si>
  <si>
    <t xml:space="preserve"> 10.12</t>
  </si>
  <si>
    <t>TRAVESSIA AÉREA</t>
  </si>
  <si>
    <t>01.17.051</t>
  </si>
  <si>
    <t>ESCAVAÇÃO MECANIZADA PARA BLOCO DE COROAMENTO OU SAPATA COM RETROESCAVADEIRA (INCLUINDO ESCAVAÇÃO PARA COLOCAÇÃO DE FÔRMAS). AF_06/2017</t>
  </si>
  <si>
    <t>kg</t>
  </si>
  <si>
    <t>ARMAÇÃO DE BLOCO, VIGA BALDRAME OU SAPATA UTILIZANDO AÇO CA-50 DE 10 MM - MONTAGEM. AF_06/2017</t>
  </si>
  <si>
    <t>CONCRETAGEM DE SAPATAS, FCK 30 MPA, COM USO DE BOMBA ? LANÇAMENTO, ADENSAMENTO E ACABAMENTO. AF_11/2016</t>
  </si>
  <si>
    <t>KG</t>
  </si>
  <si>
    <t>FABRICAÇÃO, MONTAGEM E DESMONTAGEM DE FÔRMA PARA BLOCO DE COROAMENTO, EM MADEIRA SERRADA, E=25 MM, 2 UTILIZAÇÕES. AF_06/2017</t>
  </si>
  <si>
    <t>ESTACA HÉLICE CONTÍNUA, DIÂMETRO DE 30 CM, INCLUSO CONCRETO FCK=30MPA E ARMADURA MÍNIMA (EXCLUSIVE MOBILIZAÇÃO, DESMOBILIZAÇÃO E BOMBEAMENTO). AF_12/2019</t>
  </si>
  <si>
    <t>LASTRO DE CONCRETO MAGRO, APLICADO EM BLOCOS DE COROAMENTO OU SAPATAS, ESPESSURA DE 5 CM. AF_08/2017</t>
  </si>
  <si>
    <t>FABRICAÇÃO DE FÔRMA PARA PILARES CIRCULARES, EM CHAPA DE MADEIRA COMPENSADA RESINADA. AF_06/2017</t>
  </si>
  <si>
    <t>ARMAÇÃO DE ESTRUTURAS DIVERSAS DE CONCRETO ARMADO, EXCETO VIGAS, PILARES, LAJES E FUNDAÇÕES, UTILIZANDO AÇO CA-50 DE 12,5 MM - MONTAGEM. AF_06/2022</t>
  </si>
  <si>
    <t>ARMAÇÃO DE ESTRUTURAS DIVERSAS DE CONCRETO ARMADO, EXCETO VIGAS, PILARES, LAJES E FUNDAÇÕES, UTILIZANDO AÇO CA-60 DE 5,0 MM - MONTAGEM. AF_06/2022</t>
  </si>
  <si>
    <t>CONCRETAGEM DE PILARES, FCK = 25 MPA, COM USO DE BALDES - LANÇAMENTO, ADENSAMENTO E ACABAMENTO. AF_02/2022</t>
  </si>
  <si>
    <t>12.12.010</t>
  </si>
  <si>
    <t>TX</t>
  </si>
  <si>
    <t xml:space="preserve"> 11.1 </t>
  </si>
  <si>
    <t xml:space="preserve"> 11.2</t>
  </si>
  <si>
    <t xml:space="preserve"> 11.3</t>
  </si>
  <si>
    <t xml:space="preserve"> 11.4</t>
  </si>
  <si>
    <t xml:space="preserve"> 11.5</t>
  </si>
  <si>
    <t xml:space="preserve"> 11.6</t>
  </si>
  <si>
    <t xml:space="preserve"> 11.7</t>
  </si>
  <si>
    <t xml:space="preserve"> 11.8</t>
  </si>
  <si>
    <t xml:space="preserve"> 11.9</t>
  </si>
  <si>
    <t xml:space="preserve"> 11.10</t>
  </si>
  <si>
    <t xml:space="preserve"> 11.11</t>
  </si>
  <si>
    <t xml:space="preserve"> 11.12</t>
  </si>
  <si>
    <t xml:space="preserve"> 11.13</t>
  </si>
  <si>
    <t>PREPARO DE FUNDO DE VALA COM LARGURA MENOR QUE 1,5 M, COM CAMADA DE BRITA, LANÇAMENTO MECANIZADO. AF_08/2020</t>
  </si>
  <si>
    <t>PEDRA DE MAO OU PEDRA RACHAO PARA ARRIMO/FUNDACAO (POSTO PEDREIRA/FORNECEDOR, SEM FRETE)</t>
  </si>
  <si>
    <t>TRANSPORTE COM CAMINHÃO BASCULANTE DE 10 M³, EM VIA URBANA PAVIMENTADA, DMT =30 KM (UNIDADE: M3XKM). (brita + rachão)</t>
  </si>
  <si>
    <t xml:space="preserve">RECOMPOSIÇÃO DE REVESTIMENTO EM CONCRETO ASFÁLTICO (AQUISIÇÃO EM USINA), PARA O FECHAMENTO DE VALAS </t>
  </si>
  <si>
    <t xml:space="preserve">SUBSTITUIÇÃO DO INTERCEPTOR DE ESGOTO NA UFSCAR 
LOCAL: MARGEM ESQUERDA DO CÓRREGO DO MONJOLINHO TRECHO DA CAPITAÇÃO DO ESPRAIADO ATÉ A DIVISA DO CLUBE PAULISTINHA COM A DISSOLTEX - SÃO CARLOS/SP 
</t>
  </si>
  <si>
    <t>02.08.020</t>
  </si>
  <si>
    <t xml:space="preserve">SABESP </t>
  </si>
  <si>
    <t>CANALETA MEIA CANA PRÉ-MOLDADA DE CONCRETO (D = 30 CM) - FORNECIMENTO E INSTALAÇÃO. AF_08/2021</t>
  </si>
  <si>
    <t xml:space="preserve"> 8.1</t>
  </si>
  <si>
    <t xml:space="preserve"> 4.1</t>
  </si>
  <si>
    <t xml:space="preserve"> 4.5</t>
  </si>
  <si>
    <t>ESCAVAÇÃO MECANIZADA DE VALA COM PROF. ATÉ 1,5 M (MÉDIA MONTANTE E JUSANTE/UMA COMPOSIÇÃO POR TRECHO), ESCAVADEIRA (0,8 M3), LARG. MENOR QUE 1,5 M, EM SOLO DE 1A CATEGORIA, EM LOCAIS COM ALTO NÍVEL DE INTERFERÊNCIA. AF_02/2021</t>
  </si>
  <si>
    <t>ASSENTAMENTO DE TUBO DE PVC PARA REDE COLETORA DE ESGOTO DE PAREDE MACIÇA, DN 200 MM, JUNTA ELÁSTICA (NÃO INCLUI FORNECIMENTO). AF_01/2021</t>
  </si>
  <si>
    <t>TUBO COLETOR DE ESGOTO PVC, JEI, DN 200 MM (NBR 7362)</t>
  </si>
  <si>
    <t>CHAMINÉ CIRCULAR PARA POÇO DE VISITA PARA ESGOTO, EM CONCRETO PRÉ-MOLDADO, DIÂMETRO INTERNO = 1,0 M. AF_12/2020</t>
  </si>
  <si>
    <t>REATERRO MECANIZADO DE VALA COM RETROESCAVADEIRA (CAPACIDADE DA CAÇAMBA DA RETRO: 0,26 M³ / POTÊNCIA: 88 HP), LARGURA DE 0,8 A 1,5 M, PROFUNDIDADE DE 1,5 A 3,0 M, COM SOLO (SEM SUBSTITUIÇÃO) DE 1ª CATEGORIA EM LOCAIS COM BAIXO NÍVEL DE INTERFERÊNCIA. INCLUSO COMPACTAÇÃO DE SOLO.</t>
  </si>
  <si>
    <t>PLANTIO DE GRAMA BATATAIS EM PLACAS.</t>
  </si>
  <si>
    <t xml:space="preserve"> 11.14</t>
  </si>
  <si>
    <t>DEMONSTRATIVO DE BDI</t>
  </si>
  <si>
    <t xml:space="preserve">CÁLCULO DO BDI  - Obras e Serviços  </t>
  </si>
  <si>
    <t>VALORES ADOTADOS:</t>
  </si>
  <si>
    <t>Min</t>
  </si>
  <si>
    <t>Médio</t>
  </si>
  <si>
    <t>Máx.</t>
  </si>
  <si>
    <t>AC</t>
  </si>
  <si>
    <t>ADMINISTRAÇÃO CENTRAL</t>
  </si>
  <si>
    <t>%</t>
  </si>
  <si>
    <t>DF</t>
  </si>
  <si>
    <t>DESPESAS FINANCEIRAS</t>
  </si>
  <si>
    <t>S + G</t>
  </si>
  <si>
    <t>SEGUROS E GARANTIAS</t>
  </si>
  <si>
    <t>R</t>
  </si>
  <si>
    <t>RISCO</t>
  </si>
  <si>
    <t>ISS (PMNF)</t>
  </si>
  <si>
    <t>I</t>
  </si>
  <si>
    <t>PIS</t>
  </si>
  <si>
    <t>COFINS</t>
  </si>
  <si>
    <t>Desoneração</t>
  </si>
  <si>
    <t xml:space="preserve">TOTAL "C" = </t>
  </si>
  <si>
    <t>L</t>
  </si>
  <si>
    <t>LUCRO</t>
  </si>
  <si>
    <t>FÓRMULA DE CÁLCULO:</t>
  </si>
  <si>
    <t xml:space="preserve">BDI = </t>
  </si>
  <si>
    <t>(1 + AC + S + R + G) x (1 + DF) x (1 + L)</t>
  </si>
  <si>
    <t xml:space="preserve"> -</t>
  </si>
  <si>
    <t>x</t>
  </si>
  <si>
    <t>( 1 - I)</t>
  </si>
  <si>
    <t>CÁLCULO:</t>
  </si>
  <si>
    <t>BDI =</t>
  </si>
  <si>
    <t xml:space="preserve"> =</t>
  </si>
  <si>
    <t>O VALOR DO BDI ADOTADO É DE :</t>
  </si>
  <si>
    <r>
      <t xml:space="preserve">Os cálculos estão em conformidade ao </t>
    </r>
    <r>
      <rPr>
        <b/>
        <sz val="10"/>
        <color indexed="8"/>
        <rFont val="Calibri"/>
        <family val="2"/>
      </rPr>
      <t>" ACORDÃO Nº 2622/2013 - TCU - PLENÁRIO "</t>
    </r>
  </si>
  <si>
    <r>
      <t xml:space="preserve">CRONOGRAMA FÍSICO-FINANCEIRO
</t>
    </r>
    <r>
      <rPr>
        <sz val="11"/>
        <rFont val="Arial"/>
        <family val="2"/>
      </rPr>
      <t xml:space="preserve">Evolução Física-Financeira da Obra e Cronograma Previsto de Desembolso
</t>
    </r>
  </si>
  <si>
    <t>DATA BASE:</t>
  </si>
  <si>
    <t>REVISÃO:</t>
  </si>
  <si>
    <t>Meses</t>
  </si>
  <si>
    <t>Total 
(C/ BDI)</t>
  </si>
  <si>
    <t>Mês 01</t>
  </si>
  <si>
    <t>Mês 02</t>
  </si>
  <si>
    <t>Mês 03</t>
  </si>
  <si>
    <t>Mês 04</t>
  </si>
  <si>
    <t>Mês 05</t>
  </si>
  <si>
    <t>S U B T O T A L (com BDI)</t>
  </si>
  <si>
    <t>T O T A L   A C U M U L A D O (com BDI)</t>
  </si>
  <si>
    <t>REMOÇÃO DE TUBULAÇÃO E PVS DESATIVADOS</t>
  </si>
  <si>
    <t>ESCAVAÇÃO HORIZONTAL, INCLUINDO CARGA E DESCARGA EM SOLO DE 1A CATEGORIA. AF_07/2020</t>
  </si>
  <si>
    <t>REATERRO MECANIZADO DE VALA COM MINIRETROESCAVADEIRA, COM COMPACTADOR DE SOLOS DE PERCUSSÃO</t>
  </si>
  <si>
    <t>ESCAVAÇÃO MECANIZADA DE VALA COM PROFUNDIDADE ATÉ 1,5 M (MÉDIA MONTANTE E JUSANTE/UMA COMPOSIÇÃO POR TRECHO), MINIRETROESCAVADEIRA, LARGURA MENOR QUE 0,8 M, EM SOLO DE 1A CATEGORIA, LOCAIS COM BAIXO NÍVEL DE INTERFERÊNCIA. AF_02/2021</t>
  </si>
  <si>
    <t xml:space="preserve">ESCAVAÇÃO HORIZONTAL, INCLUINDO CARGA E DESCARGA DE CAMADA VEGETAL E ENTULHOS DA TUBULAÇÃO DE CONCRETO </t>
  </si>
  <si>
    <t>TRANSPORTE COM CAMINHÃO BASCULANTE DE 10 M³, EM VIA URBANA PAVIMENTADA, DMT ATÉ 10 KM (UNIDADE: M3XKM). (BOTA FORA)</t>
  </si>
  <si>
    <t xml:space="preserve">ESCAVAÇÃO HORIZONTAL, INCLUINDO CARGA E DESCARGA DE SOLO DE 1º CATEGORIA PARA REATERRO DO LOCAL DA TUBULAÇÃO REMOVIDA. </t>
  </si>
  <si>
    <t>TRANSPORTE COM CAMINHÃO BASCULANTE DE 10 M³, EM VIA URBANA PAVIMENTADA, DMT ATÉ 10 KM (UNIDADE: M3XKM). (SOLO DE 1º CATEGORIA PARA REATERRO DE VALA)</t>
  </si>
  <si>
    <t>REATERRO MECANIZADO DE VALA COM ESCAVADEIRA HIDRÁULICA (CAPACIDADE DA CAÇAMBA: 0,8 M³/POTÊNCIA: 111 HP), LARGURA DE 1,5 A 2,5 M, PROFUNDIDADE DE 3,0 A 6,0 M, COM SOLO (SEM SUBSTITUIÇÃO) DE 1ª CATEGORIA, COM COMPACTADOR DE SOLOS DE PERCUSSÃO. AF_08/2023</t>
  </si>
  <si>
    <r>
      <t xml:space="preserve">OBRA: SUBSTITUIÇÃO DO INTERCEPTOR DE ESGOTO NA UFSCAR 
LOCAL: </t>
    </r>
    <r>
      <rPr>
        <sz val="10"/>
        <rFont val="Arial"/>
        <family val="2"/>
      </rPr>
      <t xml:space="preserve">MARGEM ESQUERDA DO CÓRREGO DO MONJOLINHO TRECHO DA CAPITAÇÃO DO ESPRAIADO ATÉ A DIVISA DO CLUBE PAULISTINHA COM A DISSOLTEX - SÃO CARLOS/SP </t>
    </r>
    <r>
      <rPr>
        <b/>
        <sz val="10"/>
        <rFont val="Arial"/>
        <family val="2"/>
      </rPr>
      <t xml:space="preserve">
</t>
    </r>
  </si>
  <si>
    <t>Ref. 
103096</t>
  </si>
  <si>
    <t>12.1</t>
  </si>
  <si>
    <t>12.2</t>
  </si>
  <si>
    <t>12.3</t>
  </si>
  <si>
    <t>12.4</t>
  </si>
  <si>
    <t>12.5</t>
  </si>
  <si>
    <t>12.6</t>
  </si>
  <si>
    <t>12.7</t>
  </si>
  <si>
    <t>12.8</t>
  </si>
  <si>
    <t>REMOÇÃO DE TUBO DE FERRO FUNDIDO DN 400 MM EXISTENTE (TRAVESSIA AÉREA SOBRE CURSO D´ÁGUA)</t>
  </si>
  <si>
    <t>TOTAL GERAL (c/ BDI):</t>
  </si>
  <si>
    <t>6.5</t>
  </si>
  <si>
    <t>6.1</t>
  </si>
  <si>
    <t>6.2</t>
  </si>
  <si>
    <t>6.3</t>
  </si>
  <si>
    <t>6.4</t>
  </si>
  <si>
    <t>1.1</t>
  </si>
  <si>
    <t>1.2</t>
  </si>
  <si>
    <t>2.1</t>
  </si>
  <si>
    <t>2.2</t>
  </si>
  <si>
    <t>2.3</t>
  </si>
  <si>
    <t>2.4</t>
  </si>
  <si>
    <t>2.5</t>
  </si>
  <si>
    <t>3.1</t>
  </si>
  <si>
    <t>3.2</t>
  </si>
  <si>
    <t>TUBO AÇO CHAPA ASTM A36 5/16"" DN 600mm</t>
  </si>
  <si>
    <t>01</t>
  </si>
  <si>
    <t>SINAPI - 04/2024  
CPOS - 03/2024 
SBC - 05/2024
SABESP - 01/2024</t>
  </si>
  <si>
    <t>São Carlos, 05 de junho de 2024.</t>
  </si>
  <si>
    <t>DEMONSTRATIVO DE BDI (FORNECIMENTO DE MATERIAIS)</t>
  </si>
  <si>
    <t>OBS.: Para os itens 6.4 e 6.5 foi adotado BDI = 16%</t>
  </si>
  <si>
    <t xml:space="preserve">SBC </t>
  </si>
  <si>
    <t>Ref. 172113</t>
  </si>
  <si>
    <t>BDI PARA ITENS DE FORNECIMENTO DE MATERIAIS E EQUIPAMENTOS</t>
  </si>
  <si>
    <t>ORÇAMENTO</t>
  </si>
  <si>
    <t>TUBO CORRUGADO PEAD, PAREDE DUPLA, INTERNA LISA, JEI, DN/DI 600 MM, PARA SANEAMENTO (PARA ESGOTO)</t>
  </si>
  <si>
    <t>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</si>
</sst>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&quot;R$&quot;\ #,##0.00"/>
    <numFmt numFmtId="166" formatCode="_(&quot;R$ &quot;* #,##0.00_);_(&quot;R$ &quot;* \(#,##0.00\);_(&quot;R$ &quot;* \-??_);_(@_)"/>
  </numFmts>
  <fonts count="53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28"/>
      <color indexed="8"/>
      <name val="Arial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Times New Roman"/>
      <family val="1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u/>
      <sz val="10"/>
      <color indexed="8"/>
      <name val="Calibri"/>
      <family val="2"/>
    </font>
    <font>
      <sz val="14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name val="Arial"/>
      <family val="1"/>
    </font>
    <font>
      <b/>
      <sz val="10"/>
      <name val="Cambria"/>
      <family val="1"/>
    </font>
    <font>
      <b/>
      <sz val="18"/>
      <name val="Cambria"/>
      <family val="1"/>
    </font>
    <font>
      <sz val="11"/>
      <name val="Arial"/>
      <family val="2"/>
    </font>
    <font>
      <b/>
      <sz val="11"/>
      <name val="Cambria"/>
      <family val="1"/>
    </font>
    <font>
      <b/>
      <sz val="11"/>
      <color rgb="FF000000"/>
      <name val="Cambria"/>
      <family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Cambria"/>
      <family val="1"/>
    </font>
    <font>
      <sz val="10"/>
      <color rgb="FF000000"/>
      <name val="Arial"/>
      <family val="2"/>
    </font>
    <font>
      <b/>
      <sz val="12"/>
      <name val="Cambria"/>
      <family val="1"/>
    </font>
    <font>
      <i/>
      <sz val="10"/>
      <name val="Cambria"/>
      <family val="1"/>
    </font>
    <font>
      <b/>
      <sz val="10"/>
      <color theme="0"/>
      <name val="Cambria"/>
      <family val="1"/>
    </font>
    <font>
      <b/>
      <sz val="12"/>
      <color theme="0"/>
      <name val="Cambria"/>
      <family val="1"/>
    </font>
    <font>
      <sz val="10"/>
      <color theme="0"/>
      <name val="Cambria"/>
      <family val="1"/>
    </font>
    <font>
      <sz val="11"/>
      <color rgb="FFFF0000"/>
      <name val="Arial"/>
      <family val="1"/>
    </font>
    <font>
      <b/>
      <i/>
      <sz val="16"/>
      <name val="Arial"/>
      <family val="2"/>
    </font>
    <font>
      <i/>
      <sz val="16"/>
      <name val="Arial"/>
      <family val="2"/>
    </font>
    <font>
      <b/>
      <sz val="12"/>
      <color theme="0"/>
      <name val="Arial"/>
      <family val="1"/>
    </font>
    <font>
      <sz val="20"/>
      <color indexed="8"/>
      <name val="Arial"/>
      <family val="2"/>
    </font>
    <font>
      <sz val="14"/>
      <color rgb="FF424242"/>
      <name val="Arial"/>
      <family val="2"/>
    </font>
    <font>
      <b/>
      <sz val="14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8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indexed="64"/>
      </bottom>
      <diagonal/>
    </border>
    <border>
      <left style="thin">
        <color indexed="64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rgb="FFCCCCCC"/>
      </bottom>
      <diagonal/>
    </border>
  </borders>
  <cellStyleXfs count="5">
    <xf numFmtId="0" fontId="0" fillId="0" borderId="0"/>
    <xf numFmtId="0" fontId="1" fillId="0" borderId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202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17" fillId="10" borderId="0" xfId="0" applyFont="1" applyFill="1" applyAlignment="1">
      <alignment horizontal="left" vertical="top" wrapText="1"/>
    </xf>
    <xf numFmtId="0" fontId="18" fillId="11" borderId="0" xfId="0" applyFont="1" applyFill="1" applyAlignment="1">
      <alignment horizontal="center" vertical="top" wrapText="1"/>
    </xf>
    <xf numFmtId="0" fontId="20" fillId="12" borderId="0" xfId="0" applyFont="1" applyFill="1" applyAlignment="1">
      <alignment horizontal="center" vertical="top" wrapText="1"/>
    </xf>
    <xf numFmtId="0" fontId="0" fillId="0" borderId="0" xfId="0"/>
    <xf numFmtId="0" fontId="0" fillId="0" borderId="0" xfId="0"/>
    <xf numFmtId="0" fontId="2" fillId="2" borderId="0" xfId="0" applyFont="1" applyFill="1" applyAlignment="1">
      <alignment vertical="top" wrapText="1"/>
    </xf>
    <xf numFmtId="0" fontId="17" fillId="10" borderId="0" xfId="0" applyFont="1" applyFill="1" applyAlignment="1">
      <alignment horizontal="justify" vertical="top" wrapText="1"/>
    </xf>
    <xf numFmtId="165" fontId="16" fillId="0" borderId="1" xfId="0" applyNumberFormat="1" applyFont="1" applyFill="1" applyBorder="1" applyAlignment="1">
      <alignment horizontal="right" vertical="top" wrapText="1"/>
    </xf>
    <xf numFmtId="0" fontId="0" fillId="0" borderId="0" xfId="0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left" vertical="top" wrapText="1"/>
    </xf>
    <xf numFmtId="165" fontId="6" fillId="9" borderId="1" xfId="0" applyNumberFormat="1" applyFont="1" applyFill="1" applyBorder="1" applyAlignment="1">
      <alignment horizontal="left" vertical="top" wrapText="1"/>
    </xf>
    <xf numFmtId="165" fontId="6" fillId="9" borderId="1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top" wrapText="1"/>
    </xf>
    <xf numFmtId="165" fontId="9" fillId="0" borderId="1" xfId="0" applyNumberFormat="1" applyFont="1" applyFill="1" applyBorder="1" applyAlignment="1">
      <alignment horizontal="right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3" fillId="0" borderId="5" xfId="1" applyFont="1" applyBorder="1" applyAlignment="1">
      <alignment vertical="center"/>
    </xf>
    <xf numFmtId="0" fontId="24" fillId="0" borderId="0" xfId="1" applyFont="1"/>
    <xf numFmtId="0" fontId="23" fillId="0" borderId="6" xfId="1" applyFont="1" applyBorder="1" applyAlignment="1">
      <alignment vertical="center"/>
    </xf>
    <xf numFmtId="0" fontId="23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4" fillId="0" borderId="0" xfId="1" applyFont="1" applyAlignment="1"/>
    <xf numFmtId="0" fontId="23" fillId="0" borderId="0" xfId="1" applyFont="1" applyAlignment="1">
      <alignment horizontal="center"/>
    </xf>
    <xf numFmtId="0" fontId="25" fillId="0" borderId="0" xfId="1" applyFont="1" applyAlignment="1">
      <alignment horizontal="center" vertical="center"/>
    </xf>
    <xf numFmtId="0" fontId="23" fillId="0" borderId="10" xfId="1" applyFont="1" applyBorder="1" applyAlignment="1">
      <alignment vertical="center"/>
    </xf>
    <xf numFmtId="0" fontId="23" fillId="0" borderId="11" xfId="1" applyFont="1" applyBorder="1" applyAlignment="1">
      <alignment vertical="center"/>
    </xf>
    <xf numFmtId="0" fontId="25" fillId="0" borderId="11" xfId="1" applyFont="1" applyBorder="1" applyAlignment="1">
      <alignment horizontal="right" vertical="center"/>
    </xf>
    <xf numFmtId="0" fontId="23" fillId="0" borderId="13" xfId="1" applyFont="1" applyBorder="1" applyAlignment="1">
      <alignment vertical="center"/>
    </xf>
    <xf numFmtId="0" fontId="24" fillId="0" borderId="5" xfId="1" applyFont="1" applyBorder="1" applyAlignment="1"/>
    <xf numFmtId="10" fontId="23" fillId="0" borderId="0" xfId="1" applyNumberFormat="1" applyFont="1" applyAlignment="1">
      <alignment horizontal="center"/>
    </xf>
    <xf numFmtId="0" fontId="23" fillId="0" borderId="2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6" fillId="0" borderId="3" xfId="1" applyFont="1" applyBorder="1" applyAlignment="1">
      <alignment horizontal="right" vertical="center"/>
    </xf>
    <xf numFmtId="0" fontId="23" fillId="0" borderId="4" xfId="1" applyFont="1" applyBorder="1" applyAlignment="1">
      <alignment vertical="center"/>
    </xf>
    <xf numFmtId="0" fontId="23" fillId="0" borderId="5" xfId="1" applyFont="1" applyBorder="1" applyAlignment="1">
      <alignment horizontal="center" vertical="center"/>
    </xf>
    <xf numFmtId="0" fontId="26" fillId="0" borderId="0" xfId="1" applyFont="1" applyAlignment="1">
      <alignment horizontal="right" vertical="center"/>
    </xf>
    <xf numFmtId="0" fontId="25" fillId="0" borderId="10" xfId="1" applyFont="1" applyBorder="1" applyAlignment="1">
      <alignment horizontal="right" vertical="center"/>
    </xf>
    <xf numFmtId="0" fontId="23" fillId="0" borderId="11" xfId="1" applyFont="1" applyBorder="1" applyAlignment="1">
      <alignment horizontal="right" vertical="center"/>
    </xf>
    <xf numFmtId="0" fontId="23" fillId="0" borderId="2" xfId="1" applyFont="1" applyBorder="1" applyAlignment="1">
      <alignment vertical="center"/>
    </xf>
    <xf numFmtId="0" fontId="23" fillId="0" borderId="3" xfId="1" applyFont="1" applyBorder="1" applyAlignment="1">
      <alignment vertical="center"/>
    </xf>
    <xf numFmtId="0" fontId="25" fillId="0" borderId="5" xfId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3" fillId="0" borderId="7" xfId="1" applyFont="1" applyBorder="1" applyAlignment="1">
      <alignment vertical="center"/>
    </xf>
    <xf numFmtId="0" fontId="23" fillId="0" borderId="8" xfId="1" applyFont="1" applyBorder="1" applyAlignment="1">
      <alignment vertical="center"/>
    </xf>
    <xf numFmtId="0" fontId="23" fillId="0" borderId="9" xfId="1" applyFont="1" applyBorder="1" applyAlignment="1">
      <alignment vertical="center"/>
    </xf>
    <xf numFmtId="0" fontId="29" fillId="0" borderId="14" xfId="1" applyFont="1" applyBorder="1" applyAlignment="1">
      <alignment horizontal="center"/>
    </xf>
    <xf numFmtId="4" fontId="25" fillId="0" borderId="0" xfId="1" applyNumberFormat="1" applyFont="1" applyAlignment="1">
      <alignment horizontal="right" vertical="center"/>
    </xf>
    <xf numFmtId="0" fontId="22" fillId="0" borderId="0" xfId="1" applyFont="1" applyAlignment="1">
      <alignment horizontal="right" vertical="center"/>
    </xf>
    <xf numFmtId="4" fontId="22" fillId="0" borderId="0" xfId="1" applyNumberFormat="1" applyFont="1" applyAlignment="1">
      <alignment vertical="center"/>
    </xf>
    <xf numFmtId="0" fontId="0" fillId="0" borderId="0" xfId="0"/>
    <xf numFmtId="0" fontId="32" fillId="0" borderId="8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49" fontId="39" fillId="0" borderId="0" xfId="0" applyNumberFormat="1" applyFont="1" applyBorder="1" applyAlignment="1">
      <alignment vertical="center"/>
    </xf>
    <xf numFmtId="44" fontId="32" fillId="0" borderId="19" xfId="3" applyFont="1" applyFill="1" applyBorder="1" applyAlignment="1" applyProtection="1">
      <alignment horizontal="center" vertical="center"/>
    </xf>
    <xf numFmtId="10" fontId="42" fillId="0" borderId="15" xfId="4" applyNumberFormat="1" applyFont="1" applyFill="1" applyBorder="1" applyAlignment="1" applyProtection="1">
      <alignment horizontal="center" vertical="center"/>
    </xf>
    <xf numFmtId="0" fontId="32" fillId="0" borderId="0" xfId="0" applyFont="1" applyBorder="1" applyAlignment="1">
      <alignment horizontal="left" vertical="center"/>
    </xf>
    <xf numFmtId="9" fontId="39" fillId="0" borderId="0" xfId="4" applyFont="1" applyBorder="1" applyAlignment="1" applyProtection="1">
      <alignment horizontal="center" vertical="center"/>
    </xf>
    <xf numFmtId="44" fontId="32" fillId="0" borderId="0" xfId="3" applyFont="1" applyBorder="1" applyAlignment="1" applyProtection="1">
      <alignment horizontal="center" vertical="center"/>
    </xf>
    <xf numFmtId="10" fontId="32" fillId="0" borderId="0" xfId="4" applyNumberFormat="1" applyFont="1" applyBorder="1" applyAlignment="1" applyProtection="1">
      <alignment horizontal="center" vertical="center"/>
    </xf>
    <xf numFmtId="166" fontId="32" fillId="0" borderId="20" xfId="0" applyNumberFormat="1" applyFont="1" applyFill="1" applyBorder="1" applyAlignment="1">
      <alignment vertical="center"/>
    </xf>
    <xf numFmtId="10" fontId="39" fillId="0" borderId="18" xfId="4" applyNumberFormat="1" applyFont="1" applyFill="1" applyBorder="1" applyAlignment="1" applyProtection="1">
      <alignment horizontal="center" vertical="center"/>
    </xf>
    <xf numFmtId="0" fontId="39" fillId="0" borderId="0" xfId="0" applyFont="1"/>
    <xf numFmtId="49" fontId="39" fillId="0" borderId="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49" fontId="32" fillId="0" borderId="0" xfId="0" applyNumberFormat="1" applyFont="1" applyAlignment="1">
      <alignment horizontal="center" vertical="center"/>
    </xf>
    <xf numFmtId="49" fontId="32" fillId="0" borderId="0" xfId="0" applyNumberFormat="1" applyFont="1" applyBorder="1" applyAlignment="1">
      <alignment horizontal="center" vertical="center"/>
    </xf>
    <xf numFmtId="0" fontId="0" fillId="0" borderId="0" xfId="0"/>
    <xf numFmtId="43" fontId="9" fillId="0" borderId="1" xfId="2" applyFont="1" applyFill="1" applyBorder="1" applyAlignment="1">
      <alignment horizontal="right" vertical="top" wrapText="1"/>
    </xf>
    <xf numFmtId="43" fontId="6" fillId="9" borderId="1" xfId="2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0" fontId="46" fillId="0" borderId="0" xfId="0" applyFont="1" applyAlignment="1">
      <alignment vertical="top"/>
    </xf>
    <xf numFmtId="43" fontId="18" fillId="11" borderId="0" xfId="2" applyFont="1" applyFill="1" applyAlignment="1">
      <alignment horizontal="center" vertical="top" wrapText="1"/>
    </xf>
    <xf numFmtId="166" fontId="43" fillId="13" borderId="16" xfId="0" applyNumberFormat="1" applyFont="1" applyFill="1" applyBorder="1" applyAlignment="1">
      <alignment vertical="center"/>
    </xf>
    <xf numFmtId="10" fontId="45" fillId="13" borderId="18" xfId="4" applyNumberFormat="1" applyFont="1" applyFill="1" applyBorder="1" applyAlignment="1" applyProtection="1">
      <alignment horizontal="center" vertical="center"/>
    </xf>
    <xf numFmtId="0" fontId="32" fillId="0" borderId="19" xfId="0" applyFont="1" applyFill="1" applyBorder="1" applyAlignment="1">
      <alignment horizontal="center" vertical="center" wrapText="1"/>
    </xf>
    <xf numFmtId="17" fontId="40" fillId="0" borderId="15" xfId="0" quotePrefix="1" applyNumberFormat="1" applyFont="1" applyBorder="1" applyAlignment="1">
      <alignment horizontal="center" vertical="center" wrapText="1"/>
    </xf>
    <xf numFmtId="0" fontId="40" fillId="0" borderId="15" xfId="0" quotePrefix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center" vertical="top" wrapText="1"/>
    </xf>
    <xf numFmtId="0" fontId="6" fillId="7" borderId="26" xfId="0" applyFont="1" applyFill="1" applyBorder="1" applyAlignment="1">
      <alignment horizontal="left" vertical="top" wrapText="1"/>
    </xf>
    <xf numFmtId="0" fontId="6" fillId="7" borderId="27" xfId="0" applyFont="1" applyFill="1" applyBorder="1" applyAlignment="1">
      <alignment horizontal="left" vertical="top" wrapText="1"/>
    </xf>
    <xf numFmtId="43" fontId="7" fillId="8" borderId="27" xfId="2" applyFont="1" applyFill="1" applyBorder="1" applyAlignment="1">
      <alignment horizontal="right" vertical="top" wrapText="1"/>
    </xf>
    <xf numFmtId="4" fontId="8" fillId="9" borderId="27" xfId="0" applyNumberFormat="1" applyFont="1" applyFill="1" applyBorder="1" applyAlignment="1">
      <alignment horizontal="right" vertical="top" wrapText="1"/>
    </xf>
    <xf numFmtId="10" fontId="8" fillId="9" borderId="28" xfId="0" applyNumberFormat="1" applyFont="1" applyFill="1" applyBorder="1" applyAlignment="1">
      <alignment horizontal="right" vertical="top" wrapText="1"/>
    </xf>
    <xf numFmtId="0" fontId="15" fillId="0" borderId="1" xfId="0" applyFont="1" applyFill="1" applyBorder="1" applyAlignment="1">
      <alignment horizontal="right" vertical="top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164" fontId="12" fillId="0" borderId="30" xfId="0" applyNumberFormat="1" applyFont="1" applyFill="1" applyBorder="1" applyAlignment="1">
      <alignment horizontal="right" vertical="top" wrapText="1"/>
    </xf>
    <xf numFmtId="0" fontId="9" fillId="0" borderId="29" xfId="0" applyFont="1" applyFill="1" applyBorder="1" applyAlignment="1">
      <alignment horizontal="left" vertical="top" wrapText="1"/>
    </xf>
    <xf numFmtId="0" fontId="6" fillId="7" borderId="29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165" fontId="6" fillId="7" borderId="1" xfId="0" applyNumberFormat="1" applyFont="1" applyFill="1" applyBorder="1" applyAlignment="1">
      <alignment horizontal="left" vertical="top" wrapText="1"/>
    </xf>
    <xf numFmtId="165" fontId="8" fillId="9" borderId="1" xfId="0" applyNumberFormat="1" applyFont="1" applyFill="1" applyBorder="1" applyAlignment="1">
      <alignment horizontal="right" vertical="top" wrapText="1"/>
    </xf>
    <xf numFmtId="10" fontId="8" fillId="9" borderId="30" xfId="0" applyNumberFormat="1" applyFont="1" applyFill="1" applyBorder="1" applyAlignment="1">
      <alignment horizontal="right" vertical="top" wrapText="1"/>
    </xf>
    <xf numFmtId="0" fontId="19" fillId="0" borderId="1" xfId="0" applyFont="1" applyFill="1" applyBorder="1" applyAlignment="1">
      <alignment horizontal="right" vertical="top" wrapText="1"/>
    </xf>
    <xf numFmtId="0" fontId="6" fillId="9" borderId="29" xfId="0" applyFont="1" applyFill="1" applyBorder="1" applyAlignment="1">
      <alignment horizontal="left" vertical="top" wrapText="1"/>
    </xf>
    <xf numFmtId="43" fontId="7" fillId="8" borderId="1" xfId="2" applyFont="1" applyFill="1" applyBorder="1" applyAlignment="1">
      <alignment horizontal="right" vertical="top" wrapText="1"/>
    </xf>
    <xf numFmtId="0" fontId="4" fillId="5" borderId="17" xfId="0" applyFont="1" applyFill="1" applyBorder="1" applyAlignment="1">
      <alignment horizontal="center" vertical="top" wrapText="1"/>
    </xf>
    <xf numFmtId="0" fontId="3" fillId="4" borderId="17" xfId="0" applyFont="1" applyFill="1" applyBorder="1" applyAlignment="1">
      <alignment horizontal="center" vertical="top" wrapText="1"/>
    </xf>
    <xf numFmtId="0" fontId="5" fillId="6" borderId="17" xfId="0" applyFont="1" applyFill="1" applyBorder="1" applyAlignment="1">
      <alignment horizontal="center" vertical="top" wrapText="1"/>
    </xf>
    <xf numFmtId="0" fontId="49" fillId="13" borderId="24" xfId="0" applyFont="1" applyFill="1" applyBorder="1" applyAlignment="1">
      <alignment vertical="top" wrapText="1"/>
    </xf>
    <xf numFmtId="0" fontId="49" fillId="13" borderId="25" xfId="0" applyFont="1" applyFill="1" applyBorder="1" applyAlignment="1">
      <alignment vertical="top" wrapText="1"/>
    </xf>
    <xf numFmtId="0" fontId="19" fillId="0" borderId="31" xfId="0" applyFont="1" applyFill="1" applyBorder="1" applyAlignment="1">
      <alignment horizontal="right" vertical="top" wrapText="1"/>
    </xf>
    <xf numFmtId="0" fontId="19" fillId="0" borderId="31" xfId="0" applyFont="1" applyFill="1" applyBorder="1" applyAlignment="1">
      <alignment horizontal="left" vertical="top" wrapText="1"/>
    </xf>
    <xf numFmtId="0" fontId="19" fillId="0" borderId="31" xfId="0" applyFont="1" applyFill="1" applyBorder="1" applyAlignment="1">
      <alignment horizontal="center" vertical="top" wrapText="1"/>
    </xf>
    <xf numFmtId="43" fontId="19" fillId="0" borderId="31" xfId="2" applyFont="1" applyFill="1" applyBorder="1" applyAlignment="1">
      <alignment horizontal="right" vertical="top" wrapText="1"/>
    </xf>
    <xf numFmtId="165" fontId="19" fillId="0" borderId="31" xfId="0" applyNumberFormat="1" applyFont="1" applyFill="1" applyBorder="1" applyAlignment="1">
      <alignment horizontal="right" vertical="top" wrapText="1"/>
    </xf>
    <xf numFmtId="164" fontId="19" fillId="0" borderId="32" xfId="0" applyNumberFormat="1" applyFont="1" applyFill="1" applyBorder="1" applyAlignment="1">
      <alignment horizontal="right" vertical="top" wrapText="1"/>
    </xf>
    <xf numFmtId="0" fontId="0" fillId="0" borderId="0" xfId="0"/>
    <xf numFmtId="0" fontId="24" fillId="0" borderId="0" xfId="1" applyFont="1"/>
    <xf numFmtId="0" fontId="23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10" fontId="17" fillId="10" borderId="0" xfId="0" applyNumberFormat="1" applyFont="1" applyFill="1" applyAlignment="1">
      <alignment horizontal="center" vertical="top" wrapText="1"/>
    </xf>
    <xf numFmtId="0" fontId="51" fillId="0" borderId="0" xfId="0" applyFont="1"/>
    <xf numFmtId="0" fontId="22" fillId="0" borderId="12" xfId="1" applyFont="1" applyBorder="1" applyAlignment="1">
      <alignment vertical="center"/>
    </xf>
    <xf numFmtId="0" fontId="2" fillId="2" borderId="0" xfId="0" applyFont="1" applyFill="1" applyAlignment="1">
      <alignment horizontal="left" vertical="top" wrapText="1"/>
    </xf>
    <xf numFmtId="0" fontId="17" fillId="10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17" fillId="10" borderId="0" xfId="0" applyFont="1" applyFill="1" applyAlignment="1">
      <alignment horizontal="center" vertical="top" wrapText="1"/>
    </xf>
    <xf numFmtId="0" fontId="19" fillId="12" borderId="0" xfId="0" applyFont="1" applyFill="1" applyAlignment="1">
      <alignment horizontal="center" vertical="top" wrapText="1"/>
    </xf>
    <xf numFmtId="0" fontId="0" fillId="0" borderId="0" xfId="0"/>
    <xf numFmtId="0" fontId="47" fillId="3" borderId="0" xfId="0" applyFont="1" applyFill="1" applyAlignment="1">
      <alignment horizontal="center" wrapText="1"/>
    </xf>
    <xf numFmtId="0" fontId="48" fillId="0" borderId="0" xfId="0" applyFont="1"/>
    <xf numFmtId="165" fontId="49" fillId="13" borderId="25" xfId="0" applyNumberFormat="1" applyFont="1" applyFill="1" applyBorder="1" applyAlignment="1">
      <alignment horizontal="right" vertical="top" wrapText="1"/>
    </xf>
    <xf numFmtId="165" fontId="49" fillId="13" borderId="22" xfId="0" applyNumberFormat="1" applyFont="1" applyFill="1" applyBorder="1" applyAlignment="1">
      <alignment horizontal="right" vertical="top" wrapText="1"/>
    </xf>
    <xf numFmtId="0" fontId="49" fillId="13" borderId="25" xfId="0" applyFont="1" applyFill="1" applyBorder="1" applyAlignment="1">
      <alignment horizontal="right" vertical="top"/>
    </xf>
    <xf numFmtId="0" fontId="9" fillId="0" borderId="33" xfId="0" applyFont="1" applyFill="1" applyBorder="1" applyAlignment="1">
      <alignment horizontal="left" vertical="top" wrapText="1"/>
    </xf>
    <xf numFmtId="0" fontId="9" fillId="0" borderId="34" xfId="0" applyFont="1" applyFill="1" applyBorder="1" applyAlignment="1">
      <alignment horizontal="left" vertical="top" wrapText="1"/>
    </xf>
    <xf numFmtId="0" fontId="9" fillId="0" borderId="35" xfId="0" applyFont="1" applyFill="1" applyBorder="1" applyAlignment="1">
      <alignment horizontal="left" vertical="top" wrapText="1"/>
    </xf>
    <xf numFmtId="0" fontId="33" fillId="0" borderId="8" xfId="0" applyFont="1" applyFill="1" applyBorder="1" applyAlignment="1">
      <alignment horizontal="right" wrapText="1"/>
    </xf>
    <xf numFmtId="0" fontId="35" fillId="0" borderId="8" xfId="0" applyFont="1" applyFill="1" applyBorder="1" applyAlignment="1">
      <alignment horizontal="right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4" fontId="41" fillId="0" borderId="16" xfId="2" applyNumberFormat="1" applyFont="1" applyFill="1" applyBorder="1" applyAlignment="1" applyProtection="1">
      <alignment horizontal="center" vertical="center" wrapText="1"/>
    </xf>
    <xf numFmtId="4" fontId="41" fillId="0" borderId="21" xfId="2" applyNumberFormat="1" applyFont="1" applyFill="1" applyBorder="1" applyAlignment="1" applyProtection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7" fillId="0" borderId="17" xfId="0" applyFont="1" applyBorder="1" applyAlignment="1">
      <alignment horizontal="left" vertical="top" wrapText="1"/>
    </xf>
    <xf numFmtId="0" fontId="38" fillId="0" borderId="19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top"/>
    </xf>
    <xf numFmtId="0" fontId="32" fillId="0" borderId="18" xfId="0" applyFont="1" applyFill="1" applyBorder="1" applyAlignment="1">
      <alignment horizontal="center" vertical="top"/>
    </xf>
    <xf numFmtId="0" fontId="32" fillId="0" borderId="16" xfId="0" applyFont="1" applyFill="1" applyBorder="1" applyAlignment="1">
      <alignment horizontal="left" vertical="top" wrapText="1"/>
    </xf>
    <xf numFmtId="0" fontId="32" fillId="0" borderId="18" xfId="0" applyFont="1" applyFill="1" applyBorder="1" applyAlignment="1">
      <alignment horizontal="left" vertical="top" wrapText="1"/>
    </xf>
    <xf numFmtId="44" fontId="32" fillId="0" borderId="16" xfId="3" applyFont="1" applyFill="1" applyBorder="1" applyAlignment="1" applyProtection="1">
      <alignment horizontal="center" vertical="top"/>
    </xf>
    <xf numFmtId="44" fontId="32" fillId="0" borderId="18" xfId="3" applyFont="1" applyFill="1" applyBorder="1" applyAlignment="1" applyProtection="1">
      <alignment horizontal="center" vertical="top"/>
    </xf>
    <xf numFmtId="10" fontId="32" fillId="0" borderId="16" xfId="4" applyNumberFormat="1" applyFont="1" applyFill="1" applyBorder="1" applyAlignment="1" applyProtection="1">
      <alignment horizontal="center" vertical="top"/>
    </xf>
    <xf numFmtId="10" fontId="32" fillId="0" borderId="18" xfId="4" applyNumberFormat="1" applyFont="1" applyFill="1" applyBorder="1" applyAlignment="1" applyProtection="1">
      <alignment horizontal="center" vertical="top"/>
    </xf>
    <xf numFmtId="43" fontId="39" fillId="0" borderId="0" xfId="2" applyFont="1" applyBorder="1" applyAlignment="1" applyProtection="1">
      <alignment horizontal="center" vertical="center"/>
    </xf>
    <xf numFmtId="43" fontId="39" fillId="0" borderId="0" xfId="2" applyFont="1" applyBorder="1" applyAlignment="1" applyProtection="1">
      <alignment horizontal="right" vertical="center"/>
    </xf>
    <xf numFmtId="0" fontId="43" fillId="13" borderId="16" xfId="0" applyFont="1" applyFill="1" applyBorder="1" applyAlignment="1">
      <alignment horizontal="center" vertical="center"/>
    </xf>
    <xf numFmtId="0" fontId="43" fillId="13" borderId="18" xfId="0" applyFont="1" applyFill="1" applyBorder="1" applyAlignment="1">
      <alignment horizontal="center" vertical="center"/>
    </xf>
    <xf numFmtId="44" fontId="44" fillId="13" borderId="16" xfId="3" applyFont="1" applyFill="1" applyBorder="1" applyAlignment="1" applyProtection="1">
      <alignment horizontal="center" vertical="center"/>
    </xf>
    <xf numFmtId="44" fontId="44" fillId="13" borderId="18" xfId="3" applyFont="1" applyFill="1" applyBorder="1" applyAlignment="1" applyProtection="1">
      <alignment horizontal="center" vertical="center"/>
    </xf>
    <xf numFmtId="10" fontId="43" fillId="13" borderId="16" xfId="0" applyNumberFormat="1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44" fontId="32" fillId="0" borderId="20" xfId="3" applyFont="1" applyFill="1" applyBorder="1" applyAlignment="1" applyProtection="1">
      <alignment horizontal="center" vertical="center"/>
    </xf>
    <xf numFmtId="44" fontId="32" fillId="0" borderId="18" xfId="3" applyFont="1" applyFill="1" applyBorder="1" applyAlignment="1" applyProtection="1">
      <alignment horizontal="center" vertical="center"/>
    </xf>
    <xf numFmtId="0" fontId="23" fillId="0" borderId="3" xfId="1" applyFont="1" applyBorder="1" applyAlignment="1">
      <alignment horizontal="left" vertical="top" wrapText="1"/>
    </xf>
    <xf numFmtId="0" fontId="23" fillId="0" borderId="0" xfId="1" applyFont="1" applyBorder="1" applyAlignment="1">
      <alignment horizontal="left" vertical="top" wrapText="1"/>
    </xf>
    <xf numFmtId="0" fontId="24" fillId="0" borderId="0" xfId="1" applyFont="1"/>
    <xf numFmtId="0" fontId="24" fillId="0" borderId="5" xfId="1" applyFont="1" applyBorder="1"/>
    <xf numFmtId="0" fontId="24" fillId="0" borderId="11" xfId="1" applyFont="1" applyBorder="1"/>
    <xf numFmtId="0" fontId="25" fillId="0" borderId="8" xfId="1" applyFont="1" applyBorder="1" applyAlignment="1">
      <alignment vertical="center"/>
    </xf>
    <xf numFmtId="0" fontId="23" fillId="0" borderId="0" xfId="1" applyFont="1" applyAlignment="1">
      <alignment vertical="center"/>
    </xf>
    <xf numFmtId="0" fontId="50" fillId="0" borderId="3" xfId="1" applyFont="1" applyBorder="1" applyAlignment="1">
      <alignment horizontal="center" vertical="center" wrapText="1"/>
    </xf>
    <xf numFmtId="0" fontId="50" fillId="0" borderId="4" xfId="1" applyFont="1" applyBorder="1" applyAlignment="1">
      <alignment horizontal="center" vertical="center" wrapText="1"/>
    </xf>
    <xf numFmtId="0" fontId="50" fillId="0" borderId="0" xfId="1" applyFont="1" applyBorder="1" applyAlignment="1">
      <alignment horizontal="center" vertical="center" wrapText="1"/>
    </xf>
    <xf numFmtId="0" fontId="50" fillId="0" borderId="6" xfId="1" applyFont="1" applyBorder="1" applyAlignment="1">
      <alignment horizontal="center" vertical="center" wrapText="1"/>
    </xf>
    <xf numFmtId="0" fontId="50" fillId="0" borderId="8" xfId="1" applyFont="1" applyBorder="1" applyAlignment="1">
      <alignment horizontal="center" vertical="center" wrapText="1"/>
    </xf>
    <xf numFmtId="0" fontId="50" fillId="0" borderId="9" xfId="1" applyFont="1" applyBorder="1" applyAlignment="1">
      <alignment horizontal="center" vertical="center" wrapText="1"/>
    </xf>
    <xf numFmtId="0" fontId="50" fillId="0" borderId="2" xfId="1" applyFont="1" applyBorder="1" applyAlignment="1">
      <alignment horizontal="center" vertical="center"/>
    </xf>
    <xf numFmtId="0" fontId="50" fillId="0" borderId="3" xfId="1" applyFont="1" applyBorder="1" applyAlignment="1">
      <alignment horizontal="center" vertical="center"/>
    </xf>
    <xf numFmtId="0" fontId="50" fillId="0" borderId="5" xfId="1" applyFont="1" applyBorder="1" applyAlignment="1">
      <alignment horizontal="center" vertical="center"/>
    </xf>
    <xf numFmtId="0" fontId="50" fillId="0" borderId="0" xfId="1" applyFont="1" applyBorder="1" applyAlignment="1">
      <alignment horizontal="center" vertical="center"/>
    </xf>
    <xf numFmtId="0" fontId="50" fillId="0" borderId="7" xfId="1" applyFont="1" applyBorder="1" applyAlignment="1">
      <alignment horizontal="center" vertical="center"/>
    </xf>
    <xf numFmtId="0" fontId="50" fillId="0" borderId="8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1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52" fillId="10" borderId="0" xfId="0" applyFont="1" applyFill="1" applyAlignment="1">
      <alignment horizontal="left" vertical="top" wrapText="1"/>
    </xf>
  </cellXfs>
  <cellStyles count="5">
    <cellStyle name="Moeda" xfId="3" builtinId="4"/>
    <cellStyle name="Normal" xfId="0" builtinId="0"/>
    <cellStyle name="Normal 2" xfId="1"/>
    <cellStyle name="Porcentagem" xfId="4" builtinId="5"/>
    <cellStyle name="Vírgula" xfId="2" builtinId="3"/>
  </cellStyles>
  <dxfs count="1"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</xdr:col>
      <xdr:colOff>728663</xdr:colOff>
      <xdr:row>2</xdr:row>
      <xdr:rowOff>28575</xdr:rowOff>
    </xdr:to>
    <xdr:pic>
      <xdr:nvPicPr>
        <xdr:cNvPr id="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443038" cy="1304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720591</xdr:colOff>
      <xdr:row>0</xdr:row>
      <xdr:rowOff>1304925</xdr:rowOff>
    </xdr:to>
    <xdr:pic>
      <xdr:nvPicPr>
        <xdr:cNvPr id="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387341" cy="1304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22</xdr:row>
      <xdr:rowOff>47625</xdr:rowOff>
    </xdr:from>
    <xdr:to>
      <xdr:col>2</xdr:col>
      <xdr:colOff>200025</xdr:colOff>
      <xdr:row>24</xdr:row>
      <xdr:rowOff>123825</xdr:rowOff>
    </xdr:to>
    <xdr:sp macro="" textlink="">
      <xdr:nvSpPr>
        <xdr:cNvPr id="2" name="Chave esquerda 1"/>
        <xdr:cNvSpPr>
          <a:spLocks/>
        </xdr:cNvSpPr>
      </xdr:nvSpPr>
      <xdr:spPr bwMode="auto">
        <a:xfrm>
          <a:off x="1381125" y="4419600"/>
          <a:ext cx="104775" cy="438150"/>
        </a:xfrm>
        <a:prstGeom prst="leftBrace">
          <a:avLst>
            <a:gd name="adj1" fmla="val 8432"/>
            <a:gd name="adj2" fmla="val 50852"/>
          </a:avLst>
        </a:prstGeom>
        <a:noFill/>
        <a:ln w="6350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390525</xdr:colOff>
      <xdr:row>32</xdr:row>
      <xdr:rowOff>142875</xdr:rowOff>
    </xdr:from>
    <xdr:to>
      <xdr:col>1</xdr:col>
      <xdr:colOff>438150</xdr:colOff>
      <xdr:row>35</xdr:row>
      <xdr:rowOff>28575</xdr:rowOff>
    </xdr:to>
    <xdr:sp macro="" textlink="">
      <xdr:nvSpPr>
        <xdr:cNvPr id="3" name="Colchete esquerdo 2"/>
        <xdr:cNvSpPr>
          <a:spLocks/>
        </xdr:cNvSpPr>
      </xdr:nvSpPr>
      <xdr:spPr bwMode="auto">
        <a:xfrm>
          <a:off x="809625" y="6372225"/>
          <a:ext cx="47625" cy="485775"/>
        </a:xfrm>
        <a:prstGeom prst="leftBracket">
          <a:avLst>
            <a:gd name="adj" fmla="val 80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38100</xdr:colOff>
      <xdr:row>32</xdr:row>
      <xdr:rowOff>104775</xdr:rowOff>
    </xdr:from>
    <xdr:to>
      <xdr:col>5</xdr:col>
      <xdr:colOff>95250</xdr:colOff>
      <xdr:row>35</xdr:row>
      <xdr:rowOff>0</xdr:rowOff>
    </xdr:to>
    <xdr:sp macro="" textlink="">
      <xdr:nvSpPr>
        <xdr:cNvPr id="4" name="Colchete direito 4"/>
        <xdr:cNvSpPr>
          <a:spLocks/>
        </xdr:cNvSpPr>
      </xdr:nvSpPr>
      <xdr:spPr bwMode="auto">
        <a:xfrm>
          <a:off x="5133975" y="6334125"/>
          <a:ext cx="57150" cy="495300"/>
        </a:xfrm>
        <a:prstGeom prst="rightBracket">
          <a:avLst>
            <a:gd name="adj" fmla="val 79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38100</xdr:colOff>
      <xdr:row>38</xdr:row>
      <xdr:rowOff>104775</xdr:rowOff>
    </xdr:from>
    <xdr:to>
      <xdr:col>5</xdr:col>
      <xdr:colOff>95250</xdr:colOff>
      <xdr:row>40</xdr:row>
      <xdr:rowOff>152400</xdr:rowOff>
    </xdr:to>
    <xdr:sp macro="" textlink="">
      <xdr:nvSpPr>
        <xdr:cNvPr id="5" name="Colchete direito 5"/>
        <xdr:cNvSpPr>
          <a:spLocks/>
        </xdr:cNvSpPr>
      </xdr:nvSpPr>
      <xdr:spPr bwMode="auto">
        <a:xfrm>
          <a:off x="5133975" y="7486650"/>
          <a:ext cx="57150" cy="466725"/>
        </a:xfrm>
        <a:prstGeom prst="rightBracket">
          <a:avLst>
            <a:gd name="adj" fmla="val 79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371475</xdr:colOff>
      <xdr:row>38</xdr:row>
      <xdr:rowOff>133350</xdr:rowOff>
    </xdr:from>
    <xdr:to>
      <xdr:col>1</xdr:col>
      <xdr:colOff>419100</xdr:colOff>
      <xdr:row>41</xdr:row>
      <xdr:rowOff>9525</xdr:rowOff>
    </xdr:to>
    <xdr:sp macro="" textlink="">
      <xdr:nvSpPr>
        <xdr:cNvPr id="6" name="Colchete esquerdo 6"/>
        <xdr:cNvSpPr>
          <a:spLocks/>
        </xdr:cNvSpPr>
      </xdr:nvSpPr>
      <xdr:spPr bwMode="auto">
        <a:xfrm>
          <a:off x="790575" y="7515225"/>
          <a:ext cx="47625" cy="476250"/>
        </a:xfrm>
        <a:prstGeom prst="leftBracket">
          <a:avLst>
            <a:gd name="adj" fmla="val 809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66676</xdr:colOff>
      <xdr:row>0</xdr:row>
      <xdr:rowOff>102936</xdr:rowOff>
    </xdr:from>
    <xdr:to>
      <xdr:col>1</xdr:col>
      <xdr:colOff>860370</xdr:colOff>
      <xdr:row>6</xdr:row>
      <xdr:rowOff>104775</xdr:rowOff>
    </xdr:to>
    <xdr:pic>
      <xdr:nvPicPr>
        <xdr:cNvPr id="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02936"/>
          <a:ext cx="1212794" cy="108768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22</xdr:row>
      <xdr:rowOff>47625</xdr:rowOff>
    </xdr:from>
    <xdr:to>
      <xdr:col>2</xdr:col>
      <xdr:colOff>200025</xdr:colOff>
      <xdr:row>24</xdr:row>
      <xdr:rowOff>123825</xdr:rowOff>
    </xdr:to>
    <xdr:sp macro="" textlink="">
      <xdr:nvSpPr>
        <xdr:cNvPr id="2" name="Chave esquerda 1"/>
        <xdr:cNvSpPr>
          <a:spLocks/>
        </xdr:cNvSpPr>
      </xdr:nvSpPr>
      <xdr:spPr bwMode="auto">
        <a:xfrm>
          <a:off x="5400675" y="4981575"/>
          <a:ext cx="104775" cy="400050"/>
        </a:xfrm>
        <a:prstGeom prst="leftBrace">
          <a:avLst>
            <a:gd name="adj1" fmla="val 8432"/>
            <a:gd name="adj2" fmla="val 50852"/>
          </a:avLst>
        </a:prstGeom>
        <a:noFill/>
        <a:ln w="6350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390525</xdr:colOff>
      <xdr:row>32</xdr:row>
      <xdr:rowOff>142875</xdr:rowOff>
    </xdr:from>
    <xdr:to>
      <xdr:col>1</xdr:col>
      <xdr:colOff>438150</xdr:colOff>
      <xdr:row>35</xdr:row>
      <xdr:rowOff>28575</xdr:rowOff>
    </xdr:to>
    <xdr:sp macro="" textlink="">
      <xdr:nvSpPr>
        <xdr:cNvPr id="3" name="Colchete esquerdo 2"/>
        <xdr:cNvSpPr>
          <a:spLocks/>
        </xdr:cNvSpPr>
      </xdr:nvSpPr>
      <xdr:spPr bwMode="auto">
        <a:xfrm>
          <a:off x="4733925" y="6743700"/>
          <a:ext cx="47625" cy="447675"/>
        </a:xfrm>
        <a:prstGeom prst="leftBracket">
          <a:avLst>
            <a:gd name="adj" fmla="val 80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38100</xdr:colOff>
      <xdr:row>32</xdr:row>
      <xdr:rowOff>104775</xdr:rowOff>
    </xdr:from>
    <xdr:to>
      <xdr:col>5</xdr:col>
      <xdr:colOff>95250</xdr:colOff>
      <xdr:row>35</xdr:row>
      <xdr:rowOff>0</xdr:rowOff>
    </xdr:to>
    <xdr:sp macro="" textlink="">
      <xdr:nvSpPr>
        <xdr:cNvPr id="4" name="Colchete direito 4"/>
        <xdr:cNvSpPr>
          <a:spLocks/>
        </xdr:cNvSpPr>
      </xdr:nvSpPr>
      <xdr:spPr bwMode="auto">
        <a:xfrm>
          <a:off x="8867775" y="6705600"/>
          <a:ext cx="57150" cy="457200"/>
        </a:xfrm>
        <a:prstGeom prst="rightBracket">
          <a:avLst>
            <a:gd name="adj" fmla="val 79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38100</xdr:colOff>
      <xdr:row>38</xdr:row>
      <xdr:rowOff>104775</xdr:rowOff>
    </xdr:from>
    <xdr:to>
      <xdr:col>5</xdr:col>
      <xdr:colOff>95250</xdr:colOff>
      <xdr:row>40</xdr:row>
      <xdr:rowOff>152400</xdr:rowOff>
    </xdr:to>
    <xdr:sp macro="" textlink="">
      <xdr:nvSpPr>
        <xdr:cNvPr id="5" name="Colchete direito 5"/>
        <xdr:cNvSpPr>
          <a:spLocks/>
        </xdr:cNvSpPr>
      </xdr:nvSpPr>
      <xdr:spPr bwMode="auto">
        <a:xfrm>
          <a:off x="8867775" y="7762875"/>
          <a:ext cx="57150" cy="447675"/>
        </a:xfrm>
        <a:prstGeom prst="rightBracket">
          <a:avLst>
            <a:gd name="adj" fmla="val 79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371475</xdr:colOff>
      <xdr:row>38</xdr:row>
      <xdr:rowOff>133350</xdr:rowOff>
    </xdr:from>
    <xdr:to>
      <xdr:col>1</xdr:col>
      <xdr:colOff>419100</xdr:colOff>
      <xdr:row>41</xdr:row>
      <xdr:rowOff>9525</xdr:rowOff>
    </xdr:to>
    <xdr:sp macro="" textlink="">
      <xdr:nvSpPr>
        <xdr:cNvPr id="6" name="Colchete esquerdo 6"/>
        <xdr:cNvSpPr>
          <a:spLocks/>
        </xdr:cNvSpPr>
      </xdr:nvSpPr>
      <xdr:spPr bwMode="auto">
        <a:xfrm>
          <a:off x="4714875" y="7791450"/>
          <a:ext cx="47625" cy="438150"/>
        </a:xfrm>
        <a:prstGeom prst="leftBracket">
          <a:avLst>
            <a:gd name="adj" fmla="val 809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123825</xdr:colOff>
      <xdr:row>0</xdr:row>
      <xdr:rowOff>102936</xdr:rowOff>
    </xdr:from>
    <xdr:to>
      <xdr:col>2</xdr:col>
      <xdr:colOff>66675</xdr:colOff>
      <xdr:row>6</xdr:row>
      <xdr:rowOff>119063</xdr:rowOff>
    </xdr:to>
    <xdr:pic>
      <xdr:nvPicPr>
        <xdr:cNvPr id="8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02936"/>
          <a:ext cx="1228725" cy="110197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DRIGO\PROJETOS\PLAN-EEE-&#193;gua_Fria-R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ORÇAMENTO"/>
      <sheetName val="CRONOGRAMA"/>
      <sheetName val="COTAÇÕES"/>
      <sheetName val="COMPOSIÇÕES"/>
      <sheetName val="BDI"/>
    </sheetNames>
    <sheetDataSet>
      <sheetData sheetId="0"/>
      <sheetData sheetId="1">
        <row r="7">
          <cell r="J7">
            <v>45231</v>
          </cell>
        </row>
        <row r="10">
          <cell r="A10" t="str">
            <v>1.</v>
          </cell>
          <cell r="B10">
            <v>0</v>
          </cell>
          <cell r="C10">
            <v>0</v>
          </cell>
          <cell r="D10" t="str">
            <v>SERVIÇOS PRELIMINARES E CANTEIRO DE OBRAS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 t="str">
            <v xml:space="preserve"> </v>
          </cell>
          <cell r="J10">
            <v>9448.8100000000013</v>
          </cell>
          <cell r="K10">
            <v>1.3856323852600652E-2</v>
          </cell>
        </row>
        <row r="11">
          <cell r="A11" t="str">
            <v>1.1</v>
          </cell>
          <cell r="B11" t="str">
            <v>CPOS</v>
          </cell>
          <cell r="C11" t="str">
            <v>02.08.050</v>
          </cell>
          <cell r="D11" t="str">
            <v>PLACA DE IDENTIFICAÇÃO PARA OBRA EM LONA COM IMPRESSÃO DIGITAL E ESTRUTURA EM MADEIRA</v>
          </cell>
          <cell r="E11" t="str">
            <v>M2</v>
          </cell>
          <cell r="F11">
            <v>2.5</v>
          </cell>
          <cell r="G11">
            <v>179.74</v>
          </cell>
          <cell r="H11" t="str">
            <v>BDI 1</v>
          </cell>
          <cell r="I11">
            <v>222.15</v>
          </cell>
          <cell r="J11">
            <v>555.37</v>
          </cell>
          <cell r="K11">
            <v>0</v>
          </cell>
        </row>
        <row r="12">
          <cell r="A12" t="str">
            <v>1.2</v>
          </cell>
          <cell r="B12" t="str">
            <v>SINAPI</v>
          </cell>
          <cell r="C12">
            <v>10775</v>
          </cell>
          <cell r="D12" t="str">
            <v>LOCACAO DE CONTAINER 2,30 X 6,00 M, ALT. 2,50 M, COM 1 SANITARIO, PARA ESCRITÓRIO E DEPÓSITO, COMPLETO, SEM DIVISORIAS INTERNAS</v>
          </cell>
          <cell r="E12" t="str">
            <v>MÊS</v>
          </cell>
          <cell r="F12">
            <v>6</v>
          </cell>
          <cell r="G12">
            <v>890</v>
          </cell>
          <cell r="H12" t="str">
            <v>BDI 1</v>
          </cell>
          <cell r="I12">
            <v>1100.04</v>
          </cell>
          <cell r="J12">
            <v>6600.24</v>
          </cell>
          <cell r="K12">
            <v>0</v>
          </cell>
        </row>
        <row r="13">
          <cell r="A13" t="str">
            <v>1.3</v>
          </cell>
          <cell r="B13" t="str">
            <v>SINAPI</v>
          </cell>
          <cell r="C13">
            <v>98524</v>
          </cell>
          <cell r="D13" t="str">
            <v>LIMPEZA MANUAL DE VEGETAÇÃO EM TERRENO COM ENXADA.AF_05/2018</v>
          </cell>
          <cell r="E13" t="str">
            <v>M2</v>
          </cell>
          <cell r="F13">
            <v>318.57</v>
          </cell>
          <cell r="G13">
            <v>3.9</v>
          </cell>
          <cell r="H13" t="str">
            <v>BDI 1</v>
          </cell>
          <cell r="I13">
            <v>4.82</v>
          </cell>
          <cell r="J13">
            <v>1535.5</v>
          </cell>
          <cell r="K13">
            <v>0</v>
          </cell>
        </row>
        <row r="14">
          <cell r="A14" t="str">
            <v>1.4</v>
          </cell>
          <cell r="B14" t="str">
            <v>CPOS</v>
          </cell>
          <cell r="C14" t="str">
            <v>03.07.050</v>
          </cell>
          <cell r="D14" t="str">
            <v>FRESAGEM DE PAVIMENTO ASFÁLTICO COM ESPESSURA ATÉ 5 CM, INCLUSIVE CARREGAMENTO, TRANSPORTE ATÉ 1 QUILÔMETRO E DESCARREGAMENTO</v>
          </cell>
          <cell r="E14" t="str">
            <v>M2</v>
          </cell>
          <cell r="F14">
            <v>54.3</v>
          </cell>
          <cell r="G14">
            <v>10.9</v>
          </cell>
          <cell r="H14" t="str">
            <v>BDI 1</v>
          </cell>
          <cell r="I14">
            <v>13.47</v>
          </cell>
          <cell r="J14">
            <v>731.42</v>
          </cell>
          <cell r="K14">
            <v>0</v>
          </cell>
        </row>
        <row r="15">
          <cell r="A15" t="str">
            <v>1.5</v>
          </cell>
          <cell r="B15" t="str">
            <v>SINAPI</v>
          </cell>
          <cell r="C15">
            <v>99058</v>
          </cell>
          <cell r="D15" t="str">
            <v>LOCAÇÃO DE PONTO PARA REFERÊNCIA TOPOGRÁFICA. AF_10/2018</v>
          </cell>
          <cell r="E15" t="str">
            <v>UN</v>
          </cell>
          <cell r="F15">
            <v>1</v>
          </cell>
          <cell r="G15">
            <v>21.27</v>
          </cell>
          <cell r="H15" t="str">
            <v>BDI 1</v>
          </cell>
          <cell r="I15">
            <v>26.28</v>
          </cell>
          <cell r="J15">
            <v>26.28</v>
          </cell>
          <cell r="K15">
            <v>0</v>
          </cell>
        </row>
        <row r="16">
          <cell r="A16" t="str">
            <v>2.</v>
          </cell>
          <cell r="B16">
            <v>0</v>
          </cell>
          <cell r="C16">
            <v>0</v>
          </cell>
          <cell r="D16" t="str">
            <v>REDES DE ESGOTO SANITÁRIO (ES) E ÁGUAS PLUVIAIS (AP)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 t="str">
            <v xml:space="preserve"> </v>
          </cell>
          <cell r="J16">
            <v>76121.539999999994</v>
          </cell>
          <cell r="K16">
            <v>0.11162937030151886</v>
          </cell>
        </row>
        <row r="17">
          <cell r="A17" t="str">
            <v>2.1</v>
          </cell>
          <cell r="B17">
            <v>0</v>
          </cell>
          <cell r="C17">
            <v>0</v>
          </cell>
          <cell r="D17" t="str">
            <v>REDE DE ESGOTO SANITÁRIO (ES)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 t="str">
            <v>POÇOS DE VISITA (PV-ES)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2.1.1</v>
          </cell>
          <cell r="B19" t="str">
            <v>SINAPI</v>
          </cell>
          <cell r="C19">
            <v>102139</v>
          </cell>
          <cell r="D19" t="str">
            <v>POÇO DE VISITA CIRCULAR PARA ESGOTO, EM CONCRETO PRÉ-MOLDADO, DIÂMETRO INTERNO = 1,20 M, PROFUNDIDADE CONFORME PROJETO, EXCLUINDO TAMPÃO. AF_12/2020</v>
          </cell>
          <cell r="E19" t="str">
            <v>UN</v>
          </cell>
          <cell r="F19">
            <v>2</v>
          </cell>
          <cell r="G19">
            <v>1721.91</v>
          </cell>
          <cell r="H19" t="str">
            <v>BDI 1</v>
          </cell>
          <cell r="I19">
            <v>2128.2800000000002</v>
          </cell>
          <cell r="J19">
            <v>4256.5600000000004</v>
          </cell>
          <cell r="K19">
            <v>0</v>
          </cell>
        </row>
        <row r="20">
          <cell r="A20" t="str">
            <v>2.1.2</v>
          </cell>
          <cell r="B20" t="str">
            <v>SINAPI</v>
          </cell>
          <cell r="C20">
            <v>98050</v>
          </cell>
          <cell r="D20" t="str">
            <v>CHAMINÉ CIRCULAR PARA POÇO DE VISITA PARA ESGOTO, EM CONCRETO PRÉ-MOLDADO, DIÂMETRO INTERNO = 0,6 M E ALTURA DE 0,50M. AF_12/2020</v>
          </cell>
          <cell r="E20" t="str">
            <v>M</v>
          </cell>
          <cell r="F20">
            <v>1</v>
          </cell>
          <cell r="G20">
            <v>295.48</v>
          </cell>
          <cell r="H20" t="str">
            <v>BDI 1</v>
          </cell>
          <cell r="I20">
            <v>365.21</v>
          </cell>
          <cell r="J20">
            <v>365.21</v>
          </cell>
          <cell r="K20">
            <v>0</v>
          </cell>
        </row>
        <row r="21">
          <cell r="A21" t="str">
            <v>2.1.3</v>
          </cell>
          <cell r="B21" t="str">
            <v>SINAPI</v>
          </cell>
          <cell r="C21">
            <v>90728</v>
          </cell>
          <cell r="D21" t="str">
            <v>JUNTA ARGAMASSADA ENTRE TUBO DN 300 MM E O POÇO DE VISITA/ CAIXA DE CONCRETO OU ALVENARIA. AF_01/2021</v>
          </cell>
          <cell r="E21" t="str">
            <v>UN</v>
          </cell>
          <cell r="F21">
            <v>3</v>
          </cell>
          <cell r="G21">
            <v>56.34</v>
          </cell>
          <cell r="H21" t="str">
            <v>BDI 1</v>
          </cell>
          <cell r="I21">
            <v>69.63</v>
          </cell>
          <cell r="J21">
            <v>208.89</v>
          </cell>
          <cell r="K21">
            <v>0</v>
          </cell>
        </row>
        <row r="22">
          <cell r="A22" t="str">
            <v>2.1.4</v>
          </cell>
          <cell r="B22" t="str">
            <v>SINAPI</v>
          </cell>
          <cell r="C22">
            <v>90730</v>
          </cell>
          <cell r="D22" t="str">
            <v>JUNTA ARGAMASSADA ENTRE TUBO DN 400 MM E O POÇO DE VISITA/ CAIXA DE CONCRETO OU ALVENARIA. AF_01/2021</v>
          </cell>
          <cell r="E22" t="str">
            <v>UN</v>
          </cell>
          <cell r="F22">
            <v>4</v>
          </cell>
          <cell r="G22">
            <v>69.790000000000006</v>
          </cell>
          <cell r="H22" t="str">
            <v>BDI 1</v>
          </cell>
          <cell r="I22">
            <v>86.26</v>
          </cell>
          <cell r="J22">
            <v>345.04</v>
          </cell>
          <cell r="K22">
            <v>0</v>
          </cell>
        </row>
        <row r="23">
          <cell r="A23" t="str">
            <v>2.1.5</v>
          </cell>
          <cell r="B23" t="str">
            <v>SINAPI</v>
          </cell>
          <cell r="C23">
            <v>94963</v>
          </cell>
          <cell r="D23" t="str">
            <v>CONCRETO FCK = 15MPA, TRAÇO 1:3,4:3,5 (EM MASSA SECA DE CIMENTO/ AREIA MÉDIA/ BRITA 1) - PREPARO MECÂNICO COM BETONEIRA 400 L (ELEVAÇÃO DA COTA DE FUNDO DE CX-EXISTENTE)</v>
          </cell>
          <cell r="E23" t="str">
            <v>M3</v>
          </cell>
          <cell r="F23">
            <v>0.6</v>
          </cell>
          <cell r="G23">
            <v>362.29</v>
          </cell>
          <cell r="H23" t="str">
            <v>BDI 1</v>
          </cell>
          <cell r="I23">
            <v>447.79</v>
          </cell>
          <cell r="J23">
            <v>268.67</v>
          </cell>
          <cell r="K23">
            <v>0</v>
          </cell>
        </row>
        <row r="24">
          <cell r="A24" t="str">
            <v>2.1.6</v>
          </cell>
          <cell r="B24" t="str">
            <v>CPOS</v>
          </cell>
          <cell r="C24" t="str">
            <v>49.06.420</v>
          </cell>
          <cell r="D24" t="str">
            <v>TAMPÃO EM FERRO FUNDIDO, DIÂMETRO DE 600 MM, CLASSE D 400 (RUPTURA&gt; 400 KN)</v>
          </cell>
          <cell r="E24" t="str">
            <v>UN</v>
          </cell>
          <cell r="F24">
            <v>2</v>
          </cell>
          <cell r="G24">
            <v>581.71</v>
          </cell>
          <cell r="H24" t="str">
            <v>BDI 1</v>
          </cell>
          <cell r="I24">
            <v>718.99</v>
          </cell>
          <cell r="J24">
            <v>1437.98</v>
          </cell>
          <cell r="K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 t="str">
            <v>EXECUÇÃO DE TUBULAÇÕES (ES)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>2.1.7</v>
          </cell>
          <cell r="B26" t="str">
            <v>SINAPI</v>
          </cell>
          <cell r="C26">
            <v>102276</v>
          </cell>
          <cell r="D26" t="str">
            <v>ESCAVAÇÃO MECANIZADA DE VALA COM PROF. ATÉ 1,5 M (MÉDIA MONTANTE E JUSANTE/UMA COMPOSIÇÃO POR TRECHO), ESCAVADEIRA (0,8 M3), LARG. MENOR QUE 1,5 M, EM SOLO DE 1A CATEGORIA, EM LOCAIS COM ALTO NÍVEL DE INTERFERÊNCIA. AF_02/2021</v>
          </cell>
          <cell r="E26" t="str">
            <v>M3</v>
          </cell>
          <cell r="F26">
            <v>77.27</v>
          </cell>
          <cell r="G26">
            <v>13.61</v>
          </cell>
          <cell r="H26" t="str">
            <v>BDI 1</v>
          </cell>
          <cell r="I26">
            <v>16.82</v>
          </cell>
          <cell r="J26">
            <v>1299.68</v>
          </cell>
          <cell r="K26">
            <v>0</v>
          </cell>
        </row>
        <row r="27">
          <cell r="A27" t="str">
            <v>2.1.8</v>
          </cell>
          <cell r="B27" t="str">
            <v>CPOS</v>
          </cell>
          <cell r="C27" t="str">
            <v>46.05.070</v>
          </cell>
          <cell r="D27" t="str">
            <v>TUBO PVC RÍGIDO OCRE, TIPO COLETOR ESGOTO, JUNTA ELÁSTICA, DN= 300 MM, INCLUSIVE CONEXÕES</v>
          </cell>
          <cell r="E27" t="str">
            <v>M</v>
          </cell>
          <cell r="F27">
            <v>25.4</v>
          </cell>
          <cell r="G27">
            <v>347.66</v>
          </cell>
          <cell r="H27" t="str">
            <v>BDI 1</v>
          </cell>
          <cell r="I27">
            <v>429.7</v>
          </cell>
          <cell r="J27">
            <v>10914.38</v>
          </cell>
          <cell r="K27">
            <v>0</v>
          </cell>
        </row>
        <row r="28">
          <cell r="A28" t="str">
            <v>2.1.9</v>
          </cell>
          <cell r="B28" t="str">
            <v>CPOS</v>
          </cell>
          <cell r="C28" t="str">
            <v>46.05.090</v>
          </cell>
          <cell r="D28" t="str">
            <v>TUBO PVC RÍGIDO OCRE, TIPO COLETOR ESGOTO, JUNTA ELÁSTICA, DN= 400 MM, INCLUSIVE CONEXÕES</v>
          </cell>
          <cell r="E28" t="str">
            <v>M</v>
          </cell>
          <cell r="F28">
            <v>31</v>
          </cell>
          <cell r="G28">
            <v>504.49</v>
          </cell>
          <cell r="H28" t="str">
            <v>BDI 1</v>
          </cell>
          <cell r="I28">
            <v>623.54</v>
          </cell>
          <cell r="J28">
            <v>19329.740000000002</v>
          </cell>
          <cell r="K28">
            <v>0</v>
          </cell>
        </row>
        <row r="29">
          <cell r="A29" t="str">
            <v>2.1.10</v>
          </cell>
          <cell r="B29" t="str">
            <v>SINAPI</v>
          </cell>
          <cell r="C29">
            <v>93378</v>
          </cell>
          <cell r="D29" t="str">
            <v>REATERRO MECANIZADO DE VALA COM RETROESCAVADEIRA (CAPACIDADE DA CAÇAMBA DA RETRO: 0,26 M³/POTÊNCIA: 88 HP), LARGURA ATÉ 0,8 M, PROFUNDIDADE ATÉ 1,5 M, COM SOLO (SEM SUBSTITUIÇÃO) DE 1ª CATEGORIA, COM COMPACTADOR DE SOLOS DE PERCUSSÃO. AF_08/2023</v>
          </cell>
          <cell r="E29" t="str">
            <v>M3</v>
          </cell>
          <cell r="F29">
            <v>77.27</v>
          </cell>
          <cell r="G29">
            <v>24.65</v>
          </cell>
          <cell r="H29" t="str">
            <v>BDI 1</v>
          </cell>
          <cell r="I29">
            <v>30.46</v>
          </cell>
          <cell r="J29">
            <v>2353.64</v>
          </cell>
          <cell r="K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 t="str">
            <v>EXECUÇÃO DE LIGAÇÃO PROVISÓRIA AO POÇO DE SUCÇÃO (ES)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 t="str">
            <v>2.1.11</v>
          </cell>
          <cell r="B31" t="str">
            <v>SINAPI</v>
          </cell>
          <cell r="C31">
            <v>102276</v>
          </cell>
          <cell r="D31" t="str">
            <v>ESCAVAÇÃO MECANIZADA DE VALA COM PROF. ATÉ 1,5 M (MÉDIA MONTANTE E JUSANTE/UMA COMPOSIÇÃO POR TRECHO), ESCAVADEIRA (0,8 M3), LARG. MENOR QUE 1,5 M, EM SOLO DE 1A CATEGORIA, EM LOCAIS COM ALTO NÍVEL DE INTERFERÊNCIA. AF_02/2021</v>
          </cell>
          <cell r="E31" t="str">
            <v>M3</v>
          </cell>
          <cell r="F31">
            <v>12.48</v>
          </cell>
          <cell r="G31">
            <v>13.61</v>
          </cell>
          <cell r="H31" t="str">
            <v>BDI 1</v>
          </cell>
          <cell r="I31">
            <v>16.82</v>
          </cell>
          <cell r="J31">
            <v>209.91</v>
          </cell>
          <cell r="K31">
            <v>0</v>
          </cell>
        </row>
        <row r="32">
          <cell r="A32" t="str">
            <v>2.1.12</v>
          </cell>
          <cell r="B32" t="str">
            <v>SABESP</v>
          </cell>
          <cell r="C32" t="str">
            <v>HM01964</v>
          </cell>
          <cell r="D32" t="str">
            <v>CURVA 45° LONGA PVC RÍGIDO D=400 MM PBJE COLETOR DE ESGOTO</v>
          </cell>
          <cell r="E32" t="str">
            <v xml:space="preserve">UN </v>
          </cell>
          <cell r="F32">
            <v>2</v>
          </cell>
          <cell r="G32">
            <v>771.4</v>
          </cell>
          <cell r="H32" t="str">
            <v>BDI 2</v>
          </cell>
          <cell r="I32">
            <v>987.39</v>
          </cell>
          <cell r="J32">
            <v>1974.78</v>
          </cell>
          <cell r="K32">
            <v>0</v>
          </cell>
        </row>
        <row r="33">
          <cell r="A33" t="str">
            <v>2.1.13</v>
          </cell>
          <cell r="B33" t="str">
            <v>CPOS</v>
          </cell>
          <cell r="C33" t="str">
            <v>46.05.090</v>
          </cell>
          <cell r="D33" t="str">
            <v>TUBO PVC RÍGIDO OCRE, TIPO COLETOR ESGOTO, JUNTA ELÁSTICA, DN= 400 MM, INCLUSIVE CONEXÕES</v>
          </cell>
          <cell r="E33" t="str">
            <v>M</v>
          </cell>
          <cell r="F33">
            <v>7.5</v>
          </cell>
          <cell r="G33">
            <v>504.49</v>
          </cell>
          <cell r="H33" t="str">
            <v>BDI 1</v>
          </cell>
          <cell r="I33">
            <v>623.54</v>
          </cell>
          <cell r="J33">
            <v>4676.55</v>
          </cell>
          <cell r="K33">
            <v>0</v>
          </cell>
        </row>
        <row r="34">
          <cell r="A34" t="str">
            <v>2.1.14</v>
          </cell>
          <cell r="B34" t="str">
            <v>SINAPI</v>
          </cell>
          <cell r="C34">
            <v>93378</v>
          </cell>
          <cell r="D34" t="str">
            <v>REATERRO MECANIZADO DE VALA COM RETROESCAVADEIRA (CAPACIDADE DA CAÇAMBA DA RETRO: 0,26 M³/POTÊNCIA: 88 HP), LARGURA ATÉ 0,8 M, PROFUNDIDADE ATÉ 1,5 M, COM SOLO (SEM SUBSTITUIÇÃO) DE 1ª CATEGORIA, COM COMPACTADOR DE SOLOS DE PERCUSSÃO. AF_08/2023</v>
          </cell>
          <cell r="E34" t="str">
            <v>M3</v>
          </cell>
          <cell r="F34">
            <v>12.48</v>
          </cell>
          <cell r="G34">
            <v>24.65</v>
          </cell>
          <cell r="H34" t="str">
            <v>BDI 1</v>
          </cell>
          <cell r="I34">
            <v>30.46</v>
          </cell>
          <cell r="J34">
            <v>380.14</v>
          </cell>
          <cell r="K34">
            <v>0</v>
          </cell>
        </row>
        <row r="35">
          <cell r="A35" t="str">
            <v>2.2</v>
          </cell>
          <cell r="B35">
            <v>0</v>
          </cell>
          <cell r="C35">
            <v>0</v>
          </cell>
          <cell r="D35" t="str">
            <v>REDE DE ÁGUAS PLUVIAIS (AP)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 t="str">
            <v>POÇOS DE VISITA (PV-AP)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2.2.1</v>
          </cell>
          <cell r="B37" t="str">
            <v>SINAPI</v>
          </cell>
          <cell r="C37">
            <v>102457</v>
          </cell>
          <cell r="D37" t="str">
            <v>POÇO DE VISITA CIRCULAR PARA DRENAGEM, EM CONCRETO PRÉ-MOLDADO, DIÂMETRO INTERNO = 1,20 M, PROFUNDIDADE CONFORME PROJETO, EXCLUINDO TAMPÃO. AF_05/2021</v>
          </cell>
          <cell r="E37" t="str">
            <v>UN</v>
          </cell>
          <cell r="F37">
            <v>2</v>
          </cell>
          <cell r="G37">
            <v>1655.99</v>
          </cell>
          <cell r="H37" t="str">
            <v>BDI 1</v>
          </cell>
          <cell r="I37">
            <v>2046.8</v>
          </cell>
          <cell r="J37">
            <v>4093.6</v>
          </cell>
          <cell r="K37">
            <v>0</v>
          </cell>
        </row>
        <row r="38">
          <cell r="A38" t="str">
            <v>2.2.2</v>
          </cell>
          <cell r="B38" t="str">
            <v>SINAPI</v>
          </cell>
          <cell r="C38">
            <v>99318</v>
          </cell>
          <cell r="D38" t="str">
            <v>CHAMINÉ CIRCULAR PARA POÇO DE VISITA PARA DRENAGEM, EM CONCRETO PRÉ-MOLDADO, DIÂMETRO INTERNO = 0,6 M E ALTURA DE 0,50M. AF_12/2020</v>
          </cell>
          <cell r="E38" t="str">
            <v>M</v>
          </cell>
          <cell r="F38">
            <v>1</v>
          </cell>
          <cell r="G38">
            <v>294.55</v>
          </cell>
          <cell r="H38" t="str">
            <v>BDI 1</v>
          </cell>
          <cell r="I38">
            <v>364.06</v>
          </cell>
          <cell r="J38">
            <v>364.06</v>
          </cell>
          <cell r="K38">
            <v>0</v>
          </cell>
        </row>
        <row r="39">
          <cell r="A39" t="str">
            <v>2.2.3</v>
          </cell>
          <cell r="B39" t="str">
            <v>SINAPI</v>
          </cell>
          <cell r="C39">
            <v>90725</v>
          </cell>
          <cell r="D39" t="str">
            <v>JUNTA ARGAMASSADA ENTRE TUBO DN 150 MM E O POÇO DE VISITA/ CAIXA DE CONCRETO OU ALVENARIA. AF_01/2021</v>
          </cell>
          <cell r="E39" t="str">
            <v>UN</v>
          </cell>
          <cell r="F39">
            <v>2</v>
          </cell>
          <cell r="G39">
            <v>36.119999999999997</v>
          </cell>
          <cell r="H39" t="str">
            <v>BDI 1</v>
          </cell>
          <cell r="I39">
            <v>44.64</v>
          </cell>
          <cell r="J39">
            <v>89.28</v>
          </cell>
          <cell r="K39">
            <v>0</v>
          </cell>
        </row>
        <row r="40">
          <cell r="A40" t="str">
            <v>2.2.4</v>
          </cell>
          <cell r="B40" t="str">
            <v>SINAPI</v>
          </cell>
          <cell r="C40">
            <v>90728</v>
          </cell>
          <cell r="D40" t="str">
            <v>JUNTA ARGAMASSADA ENTRE TUBO DN 300 MM E O POÇO DE VISITA/ CAIXA DE CONCRETO OU ALVENARIA. AF_01/2021</v>
          </cell>
          <cell r="E40" t="str">
            <v>UN</v>
          </cell>
          <cell r="F40">
            <v>1</v>
          </cell>
          <cell r="G40">
            <v>56.34</v>
          </cell>
          <cell r="H40" t="str">
            <v>BDI 1</v>
          </cell>
          <cell r="I40">
            <v>69.63</v>
          </cell>
          <cell r="J40">
            <v>69.63</v>
          </cell>
          <cell r="K40">
            <v>0</v>
          </cell>
        </row>
        <row r="41">
          <cell r="A41" t="str">
            <v>2.2.5</v>
          </cell>
          <cell r="B41" t="str">
            <v>SINAPI</v>
          </cell>
          <cell r="C41">
            <v>90730</v>
          </cell>
          <cell r="D41" t="str">
            <v>JUNTA ARGAMASSADA ENTRE TUBO DN 400 MM E O POÇO DE VISITA/ CAIXA DE CONCRETO OU ALVENARIA. AF_01/2021</v>
          </cell>
          <cell r="E41" t="str">
            <v>UN</v>
          </cell>
          <cell r="F41">
            <v>6</v>
          </cell>
          <cell r="G41">
            <v>69.790000000000006</v>
          </cell>
          <cell r="H41" t="str">
            <v>BDI 1</v>
          </cell>
          <cell r="I41">
            <v>86.26</v>
          </cell>
          <cell r="J41">
            <v>517.55999999999995</v>
          </cell>
          <cell r="K41">
            <v>0</v>
          </cell>
        </row>
        <row r="42">
          <cell r="A42" t="str">
            <v>2.2.6</v>
          </cell>
          <cell r="B42" t="str">
            <v>CPOS</v>
          </cell>
          <cell r="C42" t="str">
            <v>49.06.420</v>
          </cell>
          <cell r="D42" t="str">
            <v>TAMPÃO EM FERRO FUNDIDO, DIÂMETRO DE 600 MM, CLASSE D 400 (RUPTURA&gt; 400 KN)</v>
          </cell>
          <cell r="E42" t="str">
            <v>UN</v>
          </cell>
          <cell r="F42">
            <v>2</v>
          </cell>
          <cell r="G42">
            <v>581.71</v>
          </cell>
          <cell r="H42" t="str">
            <v>BDI 1</v>
          </cell>
          <cell r="I42">
            <v>718.99</v>
          </cell>
          <cell r="J42">
            <v>1437.98</v>
          </cell>
          <cell r="K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 t="str">
            <v>EXECUÇÃO DE TUBULAÇÕES (AP)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 t="str">
            <v>2.2.7</v>
          </cell>
          <cell r="B44" t="str">
            <v>SINAPI</v>
          </cell>
          <cell r="C44">
            <v>102276</v>
          </cell>
          <cell r="D44" t="str">
            <v>ESCAVAÇÃO MECANIZADA DE VALA COM PROF. ATÉ 1,5 M (MÉDIA MONTANTE E JUSANTE/UMA COMPOSIÇÃO POR TRECHO), ESCAVADEIRA (0,8 M3), LARG. MENOR QUE 1,5 M, EM SOLO DE 1A CATEGORIA, EM LOCAIS COM ALTO NÍVEL DE INTERFERÊNCIA. AF_02/2021</v>
          </cell>
          <cell r="E44" t="str">
            <v>M3</v>
          </cell>
          <cell r="F44">
            <v>46.5</v>
          </cell>
          <cell r="G44">
            <v>13.61</v>
          </cell>
          <cell r="H44" t="str">
            <v>BDI 1</v>
          </cell>
          <cell r="I44">
            <v>16.82</v>
          </cell>
          <cell r="J44">
            <v>782.13</v>
          </cell>
          <cell r="K44">
            <v>0</v>
          </cell>
        </row>
        <row r="45">
          <cell r="A45" t="str">
            <v>2.2.8</v>
          </cell>
          <cell r="B45" t="str">
            <v>CPOS</v>
          </cell>
          <cell r="C45" t="str">
            <v>46.05.090</v>
          </cell>
          <cell r="D45" t="str">
            <v>TUBO PVC RÍGIDO OCRE, TIPO COLETOR ESGOTO, JUNTA ELÁSTICA, DN= 400 MM, INCLUSIVE CONEXÕES</v>
          </cell>
          <cell r="E45" t="str">
            <v>M</v>
          </cell>
          <cell r="F45">
            <v>31</v>
          </cell>
          <cell r="G45">
            <v>504.49</v>
          </cell>
          <cell r="H45" t="str">
            <v>BDI 1</v>
          </cell>
          <cell r="I45">
            <v>623.54</v>
          </cell>
          <cell r="J45">
            <v>19329.740000000002</v>
          </cell>
          <cell r="K45">
            <v>0</v>
          </cell>
        </row>
        <row r="46">
          <cell r="A46" t="str">
            <v>2.2.9</v>
          </cell>
          <cell r="B46" t="str">
            <v>SINAPI</v>
          </cell>
          <cell r="C46">
            <v>93378</v>
          </cell>
          <cell r="D46" t="str">
            <v>REATERRO MECANIZADO DE VALA COM RETROESCAVADEIRA (CAPACIDADE DA CAÇAMBA DA RETRO: 0,26 M³/POTÊNCIA: 88 HP), LARGURA ATÉ 0,8 M, PROFUNDIDADE ATÉ 1,5 M, COM SOLO (SEM SUBSTITUIÇÃO) DE 1ª CATEGORIA, COM COMPACTADOR DE SOLOS DE PERCUSSÃO. AF_08/2023</v>
          </cell>
          <cell r="E46" t="str">
            <v>M3</v>
          </cell>
          <cell r="F46">
            <v>46.5</v>
          </cell>
          <cell r="G46">
            <v>24.65</v>
          </cell>
          <cell r="H46" t="str">
            <v>BDI 1</v>
          </cell>
          <cell r="I46">
            <v>30.46</v>
          </cell>
          <cell r="J46">
            <v>1416.39</v>
          </cell>
          <cell r="K46">
            <v>0</v>
          </cell>
        </row>
        <row r="47">
          <cell r="A47" t="str">
            <v>3.</v>
          </cell>
          <cell r="B47">
            <v>0</v>
          </cell>
          <cell r="C47">
            <v>0</v>
          </cell>
          <cell r="D47" t="str">
            <v xml:space="preserve">MOVIMENTAÇÃO DE TERRA
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16474.009999999998</v>
          </cell>
          <cell r="K47">
            <v>2.4158514957013804E-2</v>
          </cell>
        </row>
        <row r="48">
          <cell r="A48" t="str">
            <v>3.1</v>
          </cell>
          <cell r="B48">
            <v>0</v>
          </cell>
          <cell r="C48">
            <v>0</v>
          </cell>
          <cell r="D48" t="str">
            <v>TRATAMENTO PRELIMINAR (EEE)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 t="str">
            <v>3.1.1</v>
          </cell>
          <cell r="B49" t="str">
            <v>SINAPI</v>
          </cell>
          <cell r="C49">
            <v>101230</v>
          </cell>
          <cell r="D49" t="str">
            <v>ESCAVAÇÃO VERTICAL PARA INFRAESTRUTURA, COM CARGA, DESCARGA E TRANSPORTE DE SOLO DE 1ª CATEGORIA, COM ESCAVADEIRA HIDRÁULICA (CAÇAMBA: 0,8 M³ / 111 HP), FROTA DE 3 CAMINHÕES BASCULANTES DE 14 M³, DMT ATÉ 1 KM E VELOCIDADE MÉDIA14 KM/H. AF_05/2020</v>
          </cell>
          <cell r="E49" t="str">
            <v>M3</v>
          </cell>
          <cell r="F49">
            <v>121.23</v>
          </cell>
          <cell r="G49">
            <v>11.51</v>
          </cell>
          <cell r="H49" t="str">
            <v>BDI 1</v>
          </cell>
          <cell r="I49">
            <v>14.22</v>
          </cell>
          <cell r="J49">
            <v>1723.89</v>
          </cell>
          <cell r="K49">
            <v>0</v>
          </cell>
        </row>
        <row r="50">
          <cell r="A50" t="str">
            <v>3.1.2</v>
          </cell>
          <cell r="B50" t="str">
            <v>CPOS</v>
          </cell>
          <cell r="C50" t="str">
            <v>08.01.020</v>
          </cell>
          <cell r="D50" t="str">
            <v>ESCORAMENTO DE SOLO CONTÍNUO</v>
          </cell>
          <cell r="E50" t="str">
            <v>M2</v>
          </cell>
          <cell r="F50">
            <v>56.27</v>
          </cell>
          <cell r="G50">
            <v>97.47</v>
          </cell>
          <cell r="H50" t="str">
            <v>BDI 1</v>
          </cell>
          <cell r="I50">
            <v>120.47</v>
          </cell>
          <cell r="J50">
            <v>6778.84</v>
          </cell>
          <cell r="K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 t="str">
            <v>* REATERRO: Ver item 4.8.1 da Planilha Orçamentária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3.2</v>
          </cell>
          <cell r="B52">
            <v>0</v>
          </cell>
          <cell r="C52">
            <v>0</v>
          </cell>
          <cell r="D52" t="str">
            <v>RESERVATÓRIO DE ACÚMULO (TANQUES PULMÃO)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3.2.1</v>
          </cell>
          <cell r="B53" t="str">
            <v>SINAPI</v>
          </cell>
          <cell r="C53">
            <v>101230</v>
          </cell>
          <cell r="D53" t="str">
            <v>ESCAVAÇÃO VERTICAL PARA INFRAESTRUTURA, COM CARGA, DESCARGA E TRANSPORTE DE SOLO DE 1ª CATEGORIA, COM ESCAVADEIRA HIDRÁULICA (CAÇAMBA: 0,8 M³ / 111 HP), FROTA DE 3 CAMINHÕES BASCULANTES DE 14 M³, DMT ATÉ 1 KM E VELOCIDADE MÉDIA14 KM/H. AF_05/2020</v>
          </cell>
          <cell r="E53" t="str">
            <v>M3</v>
          </cell>
          <cell r="F53">
            <v>156.37</v>
          </cell>
          <cell r="G53">
            <v>11.51</v>
          </cell>
          <cell r="H53" t="str">
            <v>BDI 1</v>
          </cell>
          <cell r="I53">
            <v>14.22</v>
          </cell>
          <cell r="J53">
            <v>2223.58</v>
          </cell>
          <cell r="K53">
            <v>0</v>
          </cell>
        </row>
        <row r="54">
          <cell r="A54" t="str">
            <v>3.2.2</v>
          </cell>
          <cell r="B54" t="str">
            <v>CPOS</v>
          </cell>
          <cell r="C54" t="str">
            <v>08.01.040</v>
          </cell>
          <cell r="D54" t="str">
            <v>ESCORAMENTO DE SOLO DESCONTÍNUO</v>
          </cell>
          <cell r="E54" t="str">
            <v>M2</v>
          </cell>
          <cell r="F54">
            <v>82.31</v>
          </cell>
          <cell r="G54">
            <v>56.5</v>
          </cell>
          <cell r="H54" t="str">
            <v>BDI 1</v>
          </cell>
          <cell r="I54">
            <v>69.83</v>
          </cell>
          <cell r="J54">
            <v>5747.7</v>
          </cell>
          <cell r="K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 t="str">
            <v>* REATERRO: Ver item 5.5.1 da Planilha Orçamentária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>4.</v>
          </cell>
          <cell r="B56">
            <v>0</v>
          </cell>
          <cell r="C56">
            <v>0</v>
          </cell>
          <cell r="D56" t="str">
            <v>TRATAMENTO PRELIMINAR (EEE)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105915.51999999999</v>
          </cell>
          <cell r="K56">
            <v>0.15532111939351104</v>
          </cell>
        </row>
        <row r="57">
          <cell r="A57" t="str">
            <v>4.1</v>
          </cell>
          <cell r="B57">
            <v>0</v>
          </cell>
          <cell r="C57">
            <v>0</v>
          </cell>
          <cell r="D57" t="str">
            <v>ESTRUTURA DE CONCRETO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4.1.1</v>
          </cell>
          <cell r="B58" t="str">
            <v>SINAPI</v>
          </cell>
          <cell r="C58">
            <v>97083</v>
          </cell>
          <cell r="D58" t="str">
            <v>COMPACTAÇÃO MECÂNICA DE SOLO PARA EXECUÇÃO DE RADIER, PISO DE CONCRETO OU LAJE SOBRE SOLO, COM COMPACTADOR DE SOLOS A PERCUSSÃO. AF_09/2021</v>
          </cell>
          <cell r="E58" t="str">
            <v>M2</v>
          </cell>
          <cell r="F58">
            <v>39.86</v>
          </cell>
          <cell r="G58">
            <v>4.04</v>
          </cell>
          <cell r="H58" t="str">
            <v>BDI 1</v>
          </cell>
          <cell r="I58">
            <v>4.99</v>
          </cell>
          <cell r="J58">
            <v>198.9</v>
          </cell>
          <cell r="K58">
            <v>0</v>
          </cell>
        </row>
        <row r="59">
          <cell r="A59" t="str">
            <v>4.1.2</v>
          </cell>
          <cell r="B59" t="str">
            <v>CPOS</v>
          </cell>
          <cell r="C59" t="str">
            <v>02.10.020</v>
          </cell>
          <cell r="D59" t="str">
            <v>LOCAÇÃO DE OBRA</v>
          </cell>
          <cell r="E59" t="str">
            <v>M2</v>
          </cell>
          <cell r="F59">
            <v>32.76</v>
          </cell>
          <cell r="G59">
            <v>16.84</v>
          </cell>
          <cell r="H59" t="str">
            <v>BDI 1</v>
          </cell>
          <cell r="I59">
            <v>20.81</v>
          </cell>
          <cell r="J59">
            <v>681.73</v>
          </cell>
          <cell r="K59">
            <v>0</v>
          </cell>
        </row>
        <row r="60">
          <cell r="A60" t="str">
            <v>4.1.3</v>
          </cell>
          <cell r="B60" t="str">
            <v>SINAPI</v>
          </cell>
          <cell r="C60">
            <v>96622</v>
          </cell>
          <cell r="D60" t="str">
            <v>LASTRO COM MATERIAL GRANULAR, APLICADO EM PISOS OU LAJES SOBRE SOLO, ESPESSURA DE *5 CM*. AF_08/2017</v>
          </cell>
          <cell r="E60" t="str">
            <v>M3</v>
          </cell>
          <cell r="F60">
            <v>1.99</v>
          </cell>
          <cell r="G60">
            <v>128.79</v>
          </cell>
          <cell r="H60" t="str">
            <v>BDI 1</v>
          </cell>
          <cell r="I60">
            <v>159.18</v>
          </cell>
          <cell r="J60">
            <v>316.76</v>
          </cell>
          <cell r="K60">
            <v>0</v>
          </cell>
        </row>
        <row r="61">
          <cell r="A61" t="str">
            <v>4.1.4</v>
          </cell>
          <cell r="B61" t="str">
            <v>SINAPI</v>
          </cell>
          <cell r="C61">
            <v>97087</v>
          </cell>
          <cell r="D61" t="str">
            <v>CAMADA SEPARADORA PARA EXECUÇÃO DE RADIER, PISO DE CONCRETO OU LAJE SOBRE SOLO, EM LONA PLÁSTICA EXTRA FORTE PRETA, E = 200 MICRA. AF_09/2021</v>
          </cell>
          <cell r="E61" t="str">
            <v>M2</v>
          </cell>
          <cell r="F61">
            <v>39.86</v>
          </cell>
          <cell r="G61">
            <v>1.93</v>
          </cell>
          <cell r="H61" t="str">
            <v>BDI 1</v>
          </cell>
          <cell r="I61">
            <v>2.38</v>
          </cell>
          <cell r="J61">
            <v>94.86</v>
          </cell>
          <cell r="K61">
            <v>0</v>
          </cell>
        </row>
        <row r="62">
          <cell r="A62" t="str">
            <v>4.1.5</v>
          </cell>
          <cell r="B62" t="str">
            <v>SINAPI</v>
          </cell>
          <cell r="C62">
            <v>95240</v>
          </cell>
          <cell r="D62" t="str">
            <v>LASTRO DE CONCRETO MAGRO, APLICADO EM PISOS, LAJES SOBRE SOLO OU RADIERS, ESPESSURA DE 3 CM. AF_07/2016</v>
          </cell>
          <cell r="E62" t="str">
            <v>M2</v>
          </cell>
          <cell r="F62">
            <v>1.2</v>
          </cell>
          <cell r="G62">
            <v>17.27</v>
          </cell>
          <cell r="H62" t="str">
            <v>BDI 1</v>
          </cell>
          <cell r="I62">
            <v>21.34</v>
          </cell>
          <cell r="J62">
            <v>25.6</v>
          </cell>
          <cell r="K62">
            <v>0</v>
          </cell>
        </row>
        <row r="63">
          <cell r="A63" t="str">
            <v>4.1.6</v>
          </cell>
          <cell r="B63" t="str">
            <v>SINAPI</v>
          </cell>
          <cell r="C63">
            <v>97086</v>
          </cell>
          <cell r="D63" t="str">
            <v>FABRICAÇÃO, MONTAGEM E DESMONTAGEM DE FORMA PARA RADIER, PISO DE CONCRETO OU LAJE SOBRE SOLO, EM MADEIRA SERRADA, 4 UTILIZAÇÕES. AF_09/2021</v>
          </cell>
          <cell r="E63" t="str">
            <v>M2</v>
          </cell>
          <cell r="F63">
            <v>6.93</v>
          </cell>
          <cell r="G63">
            <v>149.30000000000001</v>
          </cell>
          <cell r="H63" t="str">
            <v>BDI 1</v>
          </cell>
          <cell r="I63">
            <v>184.53</v>
          </cell>
          <cell r="J63">
            <v>1278.79</v>
          </cell>
          <cell r="K63">
            <v>0</v>
          </cell>
        </row>
        <row r="64">
          <cell r="A64" t="str">
            <v>4.1.7</v>
          </cell>
          <cell r="B64" t="str">
            <v>CPOS</v>
          </cell>
          <cell r="C64" t="str">
            <v>09.02.040</v>
          </cell>
          <cell r="D64" t="str">
            <v>FORMA PLANA EM COMPENSADO PARA ESTRUTURA APARENTE</v>
          </cell>
          <cell r="E64" t="str">
            <v>M2</v>
          </cell>
          <cell r="F64">
            <v>67.47</v>
          </cell>
          <cell r="G64">
            <v>194.19</v>
          </cell>
          <cell r="H64" t="str">
            <v>BDI 1</v>
          </cell>
          <cell r="I64">
            <v>240.01</v>
          </cell>
          <cell r="J64">
            <v>16193.47</v>
          </cell>
          <cell r="K64">
            <v>0</v>
          </cell>
        </row>
        <row r="65">
          <cell r="A65" t="str">
            <v>4.1.8</v>
          </cell>
          <cell r="B65" t="str">
            <v>SINAPI</v>
          </cell>
          <cell r="C65">
            <v>92801</v>
          </cell>
          <cell r="D65" t="str">
            <v>ESPAÇADORES TIPO CARANGUEJO - CORTE E DOBRA DE AÇO CA-50, DIÂMETRO DE 6,3 MM. AF_06/2022</v>
          </cell>
          <cell r="E65" t="str">
            <v>KG</v>
          </cell>
          <cell r="F65">
            <v>8.73</v>
          </cell>
          <cell r="G65">
            <v>10.15</v>
          </cell>
          <cell r="H65" t="str">
            <v>BDI 1</v>
          </cell>
          <cell r="I65">
            <v>12.54</v>
          </cell>
          <cell r="J65">
            <v>109.47</v>
          </cell>
          <cell r="K65">
            <v>0</v>
          </cell>
        </row>
        <row r="66">
          <cell r="A66" t="str">
            <v>4.1.9</v>
          </cell>
          <cell r="B66" t="str">
            <v>SINAPI</v>
          </cell>
          <cell r="C66">
            <v>92800</v>
          </cell>
          <cell r="D66" t="str">
            <v>CORTE E DOBRA DE AÇO CA-60, DIÂMETRO DE 5,0 MM. AF_06/2022</v>
          </cell>
          <cell r="E66" t="str">
            <v>KG</v>
          </cell>
          <cell r="F66">
            <v>4.0999999999999996</v>
          </cell>
          <cell r="G66">
            <v>10.199999999999999</v>
          </cell>
          <cell r="H66" t="str">
            <v>BDI 1</v>
          </cell>
          <cell r="I66">
            <v>12.6</v>
          </cell>
          <cell r="J66">
            <v>51.66</v>
          </cell>
          <cell r="K66">
            <v>0</v>
          </cell>
        </row>
        <row r="67">
          <cell r="A67" t="str">
            <v>4.1.10</v>
          </cell>
          <cell r="B67" t="str">
            <v>SINAPI</v>
          </cell>
          <cell r="C67">
            <v>92801</v>
          </cell>
          <cell r="D67" t="str">
            <v>CORTE E DOBRA DE AÇO CA-50, DIÂMETRO DE 6,3 MM. AF_06/2022</v>
          </cell>
          <cell r="E67" t="str">
            <v>KG</v>
          </cell>
          <cell r="F67">
            <v>348.4</v>
          </cell>
          <cell r="G67">
            <v>10.15</v>
          </cell>
          <cell r="H67" t="str">
            <v>BDI 1</v>
          </cell>
          <cell r="I67">
            <v>12.54</v>
          </cell>
          <cell r="J67">
            <v>4368.93</v>
          </cell>
          <cell r="K67">
            <v>0</v>
          </cell>
        </row>
        <row r="68">
          <cell r="A68" t="str">
            <v>4.1.11</v>
          </cell>
          <cell r="B68" t="str">
            <v>SINAPI</v>
          </cell>
          <cell r="C68">
            <v>92802</v>
          </cell>
          <cell r="D68" t="str">
            <v>CORTE E DOBRA DE AÇO CA-50, DIÂMETRO DE 8,0 MM. AF_06/2022</v>
          </cell>
          <cell r="E68" t="str">
            <v>KG</v>
          </cell>
          <cell r="F68">
            <v>354.2</v>
          </cell>
          <cell r="G68">
            <v>10.02</v>
          </cell>
          <cell r="H68" t="str">
            <v>BDI 1</v>
          </cell>
          <cell r="I68">
            <v>12.38</v>
          </cell>
          <cell r="J68">
            <v>4384.99</v>
          </cell>
          <cell r="K68">
            <v>0</v>
          </cell>
        </row>
        <row r="69">
          <cell r="A69" t="str">
            <v>4.1.12</v>
          </cell>
          <cell r="B69" t="str">
            <v>SABESP</v>
          </cell>
          <cell r="C69">
            <v>70070301</v>
          </cell>
          <cell r="D69" t="str">
            <v>CONCRETO ESTRUTURAL P/ ESTRUTURAS EM CONTATO COM ESGOTO, GASES AGRESSIVOS, AMBIENTE MARÍTIMO E ESTRUTURAS PARA TRATAMENTO DE ÁGUA, FCK = 40,0 MPA, A/C MÁX. 0,45 L/KG - MÍN. DE 360 KG DE CIMENTO/M³</v>
          </cell>
          <cell r="E69" t="str">
            <v>M3</v>
          </cell>
          <cell r="F69">
            <v>14.3</v>
          </cell>
          <cell r="G69">
            <v>734.796875</v>
          </cell>
          <cell r="H69" t="str">
            <v>BDI 2</v>
          </cell>
          <cell r="I69">
            <v>940.54</v>
          </cell>
          <cell r="J69">
            <v>13449.72</v>
          </cell>
          <cell r="K69">
            <v>0</v>
          </cell>
        </row>
        <row r="70">
          <cell r="A70" t="str">
            <v>4.1.13</v>
          </cell>
          <cell r="B70" t="str">
            <v>COTADO</v>
          </cell>
          <cell r="C70" t="str">
            <v>C001</v>
          </cell>
          <cell r="D70" t="str">
            <v>ADITIVO PARA PROTEÇÃO E IMPERMEABILIZAÇÃO PARA CONCRETO (REF.: XYPEX)</v>
          </cell>
          <cell r="E70" t="str">
            <v>KG</v>
          </cell>
          <cell r="F70">
            <v>71.5</v>
          </cell>
          <cell r="G70">
            <v>40.736666666666672</v>
          </cell>
          <cell r="H70" t="str">
            <v>BDI 1</v>
          </cell>
          <cell r="I70">
            <v>50.35</v>
          </cell>
          <cell r="J70">
            <v>3600.02</v>
          </cell>
          <cell r="K70">
            <v>0</v>
          </cell>
        </row>
        <row r="71">
          <cell r="A71" t="str">
            <v>4.1.14</v>
          </cell>
          <cell r="B71" t="str">
            <v>CPOS</v>
          </cell>
          <cell r="C71" t="str">
            <v>11.16.080</v>
          </cell>
          <cell r="D71" t="str">
            <v>LANÇAMENTO E ADENSAMENTO DE CONCRETO OU MASSA POR BOMBEAMENTO</v>
          </cell>
          <cell r="E71" t="str">
            <v>M3</v>
          </cell>
          <cell r="F71">
            <v>14.3</v>
          </cell>
          <cell r="G71">
            <v>118.65</v>
          </cell>
          <cell r="H71" t="str">
            <v>BDI 1</v>
          </cell>
          <cell r="I71">
            <v>146.65</v>
          </cell>
          <cell r="J71">
            <v>2097.09</v>
          </cell>
          <cell r="K71">
            <v>0</v>
          </cell>
        </row>
        <row r="72">
          <cell r="A72" t="str">
            <v>4.2</v>
          </cell>
          <cell r="B72">
            <v>0</v>
          </cell>
          <cell r="C72">
            <v>0</v>
          </cell>
          <cell r="D72" t="str">
            <v>CALHA PARSHALL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4.2.1</v>
          </cell>
          <cell r="B73" t="str">
            <v>SABESP</v>
          </cell>
          <cell r="C73" t="str">
            <v>HM00600</v>
          </cell>
          <cell r="D73" t="str">
            <v>MEDIDOR DE VAZÃO CALHA PARSHALL FIBRA DE VIDRO GARGANTA 6"</v>
          </cell>
          <cell r="E73" t="str">
            <v xml:space="preserve">UN </v>
          </cell>
          <cell r="F73">
            <v>1</v>
          </cell>
          <cell r="G73">
            <v>3248.94</v>
          </cell>
          <cell r="H73" t="str">
            <v>BDI 2</v>
          </cell>
          <cell r="I73">
            <v>4158.6400000000003</v>
          </cell>
          <cell r="J73">
            <v>4158.6400000000003</v>
          </cell>
          <cell r="K73">
            <v>0</v>
          </cell>
        </row>
        <row r="74">
          <cell r="A74" t="str">
            <v>4.2.2</v>
          </cell>
          <cell r="B74" t="str">
            <v>SABESP</v>
          </cell>
          <cell r="C74" t="str">
            <v>70140125</v>
          </cell>
          <cell r="D74" t="str">
            <v>CALHA PARSHALL EM FIBRA DE VIDRO W ATÉ 6" - MONTAGEM</v>
          </cell>
          <cell r="E74" t="str">
            <v xml:space="preserve">UN </v>
          </cell>
          <cell r="F74">
            <v>1</v>
          </cell>
          <cell r="G74">
            <v>518.8515625</v>
          </cell>
          <cell r="H74" t="str">
            <v>BDI 2</v>
          </cell>
          <cell r="I74">
            <v>664.13</v>
          </cell>
          <cell r="J74">
            <v>664.13</v>
          </cell>
          <cell r="K74">
            <v>0</v>
          </cell>
        </row>
        <row r="75">
          <cell r="A75" t="str">
            <v>4.3</v>
          </cell>
          <cell r="B75">
            <v>0</v>
          </cell>
          <cell r="C75">
            <v>0</v>
          </cell>
          <cell r="D75" t="str">
            <v>MURO DE ARRIMO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4.3.1</v>
          </cell>
          <cell r="B76" t="str">
            <v>SINAPI</v>
          </cell>
          <cell r="C76">
            <v>101173</v>
          </cell>
          <cell r="D76" t="str">
            <v>ESTACA BROCA DE CONCRETO, DIÂMETRO DE 20CM, ESCAVAÇÃO MANUAL COM TRADO CONCHA, COM ARMADURA DE ARRANQUE. AF_05/2020</v>
          </cell>
          <cell r="E76" t="str">
            <v>M</v>
          </cell>
          <cell r="F76">
            <v>24</v>
          </cell>
          <cell r="G76">
            <v>62.46</v>
          </cell>
          <cell r="H76" t="str">
            <v>BDI 1</v>
          </cell>
          <cell r="I76">
            <v>77.2</v>
          </cell>
          <cell r="J76">
            <v>1852.8</v>
          </cell>
          <cell r="K76">
            <v>0</v>
          </cell>
        </row>
        <row r="77">
          <cell r="A77" t="str">
            <v>4.3.2</v>
          </cell>
          <cell r="B77" t="str">
            <v>SINAPI</v>
          </cell>
          <cell r="C77">
            <v>96536</v>
          </cell>
          <cell r="D77" t="str">
            <v>FABRICAÇÃO, MONTAGEM E DESMONTAGEM DE FÔRMA PARA VIGA BALDRAME, EM MADEIRA SERRADA, E=25 MM, 4 UTILIZAÇÕES. AF_06/2017</v>
          </cell>
          <cell r="E77" t="str">
            <v>M2</v>
          </cell>
          <cell r="F77">
            <v>15.46</v>
          </cell>
          <cell r="G77">
            <v>89.7</v>
          </cell>
          <cell r="H77" t="str">
            <v>BDI 1</v>
          </cell>
          <cell r="I77">
            <v>110.86</v>
          </cell>
          <cell r="J77">
            <v>1713.89</v>
          </cell>
          <cell r="K77">
            <v>0</v>
          </cell>
        </row>
        <row r="78">
          <cell r="A78" t="str">
            <v>4.3.3</v>
          </cell>
          <cell r="B78" t="str">
            <v>CPOS</v>
          </cell>
          <cell r="C78" t="str">
            <v>11.18.040</v>
          </cell>
          <cell r="D78" t="str">
            <v>LASTRO DE PEDRA BRITADA</v>
          </cell>
          <cell r="E78" t="str">
            <v>M3</v>
          </cell>
          <cell r="F78">
            <v>0.26</v>
          </cell>
          <cell r="G78">
            <v>187.88</v>
          </cell>
          <cell r="H78" t="str">
            <v>BDI 1</v>
          </cell>
          <cell r="I78">
            <v>232.21</v>
          </cell>
          <cell r="J78">
            <v>60.37</v>
          </cell>
          <cell r="K78">
            <v>0</v>
          </cell>
        </row>
        <row r="79">
          <cell r="A79" t="str">
            <v>4.3.4</v>
          </cell>
          <cell r="B79" t="str">
            <v>SINAPI</v>
          </cell>
          <cell r="C79">
            <v>96543</v>
          </cell>
          <cell r="D79" t="str">
            <v>ARMAÇÃO DE BLOCO, VIGA BALDRAME E SAPATA UTILIZANDO AÇO CA-60 DE 5 MM - MONTAGEM. AF_06/2017</v>
          </cell>
          <cell r="E79" t="str">
            <v>KG</v>
          </cell>
          <cell r="F79">
            <v>17.2</v>
          </cell>
          <cell r="G79">
            <v>19.05</v>
          </cell>
          <cell r="H79" t="str">
            <v>BDI 1</v>
          </cell>
          <cell r="I79">
            <v>23.54</v>
          </cell>
          <cell r="J79">
            <v>404.88</v>
          </cell>
          <cell r="K79">
            <v>0</v>
          </cell>
        </row>
        <row r="80">
          <cell r="A80" t="str">
            <v>4.3.5</v>
          </cell>
          <cell r="B80" t="str">
            <v>SINAPI</v>
          </cell>
          <cell r="C80">
            <v>96545</v>
          </cell>
          <cell r="D80" t="str">
            <v>ARMAÇÃO DE BLOCO, VIGA BALDRAME OU SAPATA UTILIZANDO AÇO CA-50 DE 8 MM - MONTAGEM. AF_06/2017</v>
          </cell>
          <cell r="E80" t="str">
            <v>KG</v>
          </cell>
          <cell r="F80">
            <v>44.2</v>
          </cell>
          <cell r="G80">
            <v>15.39</v>
          </cell>
          <cell r="H80" t="str">
            <v>BDI 1</v>
          </cell>
          <cell r="I80">
            <v>19.02</v>
          </cell>
          <cell r="J80">
            <v>840.68</v>
          </cell>
          <cell r="K80">
            <v>0</v>
          </cell>
        </row>
        <row r="81">
          <cell r="A81" t="str">
            <v>4.3.6</v>
          </cell>
          <cell r="B81" t="str">
            <v>SINAPI</v>
          </cell>
          <cell r="C81">
            <v>96557</v>
          </cell>
          <cell r="D81" t="str">
            <v>CONCRETAGEM DE VIGAS BALDRAMES, FCK 30 MPA, COM USO DE BOMBA  LANÇAMENTO, ADENSAMENTO E ACABAMENTO. AF_06/2017</v>
          </cell>
          <cell r="E81" t="str">
            <v>M3</v>
          </cell>
          <cell r="F81">
            <v>1.55</v>
          </cell>
          <cell r="G81">
            <v>568.94000000000005</v>
          </cell>
          <cell r="H81" t="str">
            <v>BDI 1</v>
          </cell>
          <cell r="I81">
            <v>703.2</v>
          </cell>
          <cell r="J81">
            <v>1089.96</v>
          </cell>
          <cell r="K81">
            <v>0</v>
          </cell>
        </row>
        <row r="82">
          <cell r="A82" t="str">
            <v>4.3.7</v>
          </cell>
          <cell r="B82" t="str">
            <v>SABESP</v>
          </cell>
          <cell r="C82">
            <v>70190090</v>
          </cell>
          <cell r="D82" t="str">
            <v>ANCORAGEM DE BARRAS DE AÇO - Ø 6,3 MM C/RESINA EPOXÍDICA</v>
          </cell>
          <cell r="E82" t="str">
            <v xml:space="preserve">UN </v>
          </cell>
          <cell r="F82">
            <v>24</v>
          </cell>
          <cell r="G82">
            <v>6.421875</v>
          </cell>
          <cell r="H82" t="str">
            <v>BDI 2</v>
          </cell>
          <cell r="I82">
            <v>8.2200000000000006</v>
          </cell>
          <cell r="J82">
            <v>197.28</v>
          </cell>
          <cell r="K82">
            <v>0</v>
          </cell>
        </row>
        <row r="83">
          <cell r="A83" t="str">
            <v>4.3.8</v>
          </cell>
          <cell r="B83" t="str">
            <v>SABESP</v>
          </cell>
          <cell r="C83">
            <v>70190091</v>
          </cell>
          <cell r="D83" t="str">
            <v>ANCORAGEM DE BARRAS DE AÇO - Ø 10,0 MM C/RESINA EPOXÍDICA</v>
          </cell>
          <cell r="E83" t="str">
            <v xml:space="preserve">UN </v>
          </cell>
          <cell r="F83">
            <v>10</v>
          </cell>
          <cell r="G83">
            <v>7.59375</v>
          </cell>
          <cell r="H83" t="str">
            <v>BDI 2</v>
          </cell>
          <cell r="I83">
            <v>9.7200000000000006</v>
          </cell>
          <cell r="J83">
            <v>97.2</v>
          </cell>
          <cell r="K83">
            <v>0</v>
          </cell>
        </row>
        <row r="84">
          <cell r="A84" t="str">
            <v>4.3.9</v>
          </cell>
          <cell r="B84" t="str">
            <v>SINAPI</v>
          </cell>
          <cell r="C84">
            <v>103320</v>
          </cell>
          <cell r="D84" t="str">
            <v>ALVENARIA DE BLOCOS VAZADOS DE CONCRETO DE 19X19X39 CM APARENTE (ESPESSURA 19 CM) E ARGAMASSA DE ASSENTAMENTO COM PREPARO EM BETONEIRA. AF_12/2021</v>
          </cell>
          <cell r="E84" t="str">
            <v>M2</v>
          </cell>
          <cell r="F84">
            <v>32.159999999999997</v>
          </cell>
          <cell r="G84">
            <v>119.19</v>
          </cell>
          <cell r="H84" t="str">
            <v>BDI 1</v>
          </cell>
          <cell r="I84">
            <v>147.31</v>
          </cell>
          <cell r="J84">
            <v>4737.4799999999996</v>
          </cell>
          <cell r="K84">
            <v>0</v>
          </cell>
        </row>
        <row r="85">
          <cell r="A85" t="str">
            <v>4.3.10</v>
          </cell>
          <cell r="B85" t="str">
            <v>SINAPI</v>
          </cell>
          <cell r="C85">
            <v>93205</v>
          </cell>
          <cell r="D85" t="str">
            <v>CINTA DE AMARRAÇÃO DE ALVENARIA MOLDADA IN LOCO COM UTILIZAÇÃO DE BLOCOS CANALETA ARMADA COM 2 BARRAS DE AÇO CA-50 DE 8,0MM. AF_03/2016</v>
          </cell>
          <cell r="E85" t="str">
            <v>M</v>
          </cell>
          <cell r="F85">
            <v>57.4</v>
          </cell>
          <cell r="G85">
            <v>39.200000000000003</v>
          </cell>
          <cell r="H85" t="str">
            <v>BDI 1</v>
          </cell>
          <cell r="I85">
            <v>48.45</v>
          </cell>
          <cell r="J85">
            <v>2781.03</v>
          </cell>
          <cell r="K85">
            <v>0</v>
          </cell>
        </row>
        <row r="86">
          <cell r="A86" t="str">
            <v>4.3.11</v>
          </cell>
          <cell r="B86" t="str">
            <v>SINAPI</v>
          </cell>
          <cell r="C86">
            <v>89996</v>
          </cell>
          <cell r="D86" t="str">
            <v>ARMAÇÃO VERTICAL DE ALVENARIA ESTRUTURAL; DIÂMETRO DE 10,0 MM. AF_09/2021</v>
          </cell>
          <cell r="E86" t="str">
            <v>KG</v>
          </cell>
          <cell r="F86">
            <v>34</v>
          </cell>
          <cell r="G86">
            <v>11.06</v>
          </cell>
          <cell r="H86" t="str">
            <v>BDI 1</v>
          </cell>
          <cell r="I86">
            <v>13.67</v>
          </cell>
          <cell r="J86">
            <v>464.78</v>
          </cell>
          <cell r="K86">
            <v>0</v>
          </cell>
        </row>
        <row r="87">
          <cell r="A87" t="str">
            <v>4.3.12</v>
          </cell>
          <cell r="B87" t="str">
            <v>SINAPI</v>
          </cell>
          <cell r="C87">
            <v>89993</v>
          </cell>
          <cell r="D87" t="str">
            <v>GRAUTEAMENTO VERTICAL EM ALVENARIA ESTRUTURAL. AF_09/2021 - GRAUTE FGK=20 MPA</v>
          </cell>
          <cell r="E87" t="str">
            <v>M3</v>
          </cell>
          <cell r="F87">
            <v>0.65</v>
          </cell>
          <cell r="G87">
            <v>980.79</v>
          </cell>
          <cell r="H87" t="str">
            <v>BDI 1</v>
          </cell>
          <cell r="I87">
            <v>1212.25</v>
          </cell>
          <cell r="J87">
            <v>787.96</v>
          </cell>
          <cell r="K87">
            <v>0</v>
          </cell>
        </row>
        <row r="88">
          <cell r="A88" t="str">
            <v>4.4</v>
          </cell>
          <cell r="B88">
            <v>0</v>
          </cell>
          <cell r="C88">
            <v>0</v>
          </cell>
          <cell r="D88" t="str">
            <v>ESCADAS DE ACESSO EM ALVENARIA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4.4.1</v>
          </cell>
          <cell r="B89" t="str">
            <v>SINAPI</v>
          </cell>
          <cell r="C89">
            <v>101166</v>
          </cell>
          <cell r="D89" t="str">
            <v>ALVENARIA DE EMBASAMENTO COM BLOCO ESTRUTURAL DE CERÂMICA, DE 14X19X29CM E ARGAMASSA DE ASSENTAMENTO COM PREPARO EM BETONEIRA. AF_05/2020</v>
          </cell>
          <cell r="E89" t="str">
            <v>M3</v>
          </cell>
          <cell r="F89">
            <v>1.27</v>
          </cell>
          <cell r="G89">
            <v>687.94</v>
          </cell>
          <cell r="H89" t="str">
            <v>BDI 1</v>
          </cell>
          <cell r="I89">
            <v>850.29</v>
          </cell>
          <cell r="J89">
            <v>1079.8599999999999</v>
          </cell>
          <cell r="K89">
            <v>0</v>
          </cell>
        </row>
        <row r="90">
          <cell r="A90" t="str">
            <v>4.4.2</v>
          </cell>
          <cell r="B90" t="str">
            <v>CPOS</v>
          </cell>
          <cell r="C90" t="str">
            <v>17.02.030</v>
          </cell>
          <cell r="D90" t="str">
            <v>CHAPISCO 1:4 COM AREIA GROSSA</v>
          </cell>
          <cell r="E90" t="str">
            <v>M2</v>
          </cell>
          <cell r="F90">
            <v>4.43</v>
          </cell>
          <cell r="G90">
            <v>6.17</v>
          </cell>
          <cell r="H90" t="str">
            <v>BDI 1</v>
          </cell>
          <cell r="I90">
            <v>7.62</v>
          </cell>
          <cell r="J90">
            <v>33.75</v>
          </cell>
          <cell r="K90">
            <v>0</v>
          </cell>
        </row>
        <row r="91">
          <cell r="A91" t="str">
            <v>4.4.3</v>
          </cell>
          <cell r="B91" t="str">
            <v>CPOS</v>
          </cell>
          <cell r="C91" t="str">
            <v>17.02.120</v>
          </cell>
          <cell r="D91" t="str">
            <v>EMBOÇO COMUM</v>
          </cell>
          <cell r="E91" t="str">
            <v>M2</v>
          </cell>
          <cell r="F91">
            <v>4.43</v>
          </cell>
          <cell r="G91">
            <v>22.66</v>
          </cell>
          <cell r="H91" t="str">
            <v>BDI 1</v>
          </cell>
          <cell r="I91">
            <v>28</v>
          </cell>
          <cell r="J91">
            <v>124.04</v>
          </cell>
          <cell r="K91">
            <v>0</v>
          </cell>
        </row>
        <row r="92">
          <cell r="A92" t="str">
            <v>4.4.4</v>
          </cell>
          <cell r="B92" t="str">
            <v>SINAPI</v>
          </cell>
          <cell r="C92">
            <v>99857</v>
          </cell>
          <cell r="D92" t="str">
            <v>CORRIMÃO SIMPLES, DIÂMETRO EXTERNO = 1 1/2, EM ALUMÍNIO. AF_04/2019_PS</v>
          </cell>
          <cell r="E92" t="str">
            <v>M</v>
          </cell>
          <cell r="F92">
            <v>6.8</v>
          </cell>
          <cell r="G92">
            <v>101.01</v>
          </cell>
          <cell r="H92" t="str">
            <v>BDI 1</v>
          </cell>
          <cell r="I92">
            <v>124.84</v>
          </cell>
          <cell r="J92">
            <v>848.91</v>
          </cell>
          <cell r="K92">
            <v>0</v>
          </cell>
        </row>
        <row r="93">
          <cell r="A93" t="str">
            <v>4.5</v>
          </cell>
          <cell r="B93">
            <v>0</v>
          </cell>
          <cell r="C93">
            <v>0</v>
          </cell>
          <cell r="D93" t="str">
            <v>PISO DE CONCRETO ESP. 8CM (ARMADO)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4.5.1</v>
          </cell>
          <cell r="B94" t="str">
            <v>CPOS</v>
          </cell>
          <cell r="C94" t="str">
            <v>06.11.040</v>
          </cell>
          <cell r="D94" t="str">
            <v>REATERRO MANUAL APILOADO SEM CONTROLE DE COMPACTAÇÃO</v>
          </cell>
          <cell r="E94" t="str">
            <v>M3</v>
          </cell>
          <cell r="F94">
            <v>14.66</v>
          </cell>
          <cell r="G94">
            <v>19</v>
          </cell>
          <cell r="H94" t="str">
            <v>BDI 1</v>
          </cell>
          <cell r="I94">
            <v>23.48</v>
          </cell>
          <cell r="J94">
            <v>344.21</v>
          </cell>
          <cell r="K94">
            <v>0</v>
          </cell>
        </row>
        <row r="95">
          <cell r="A95" t="str">
            <v>4.5.2</v>
          </cell>
          <cell r="B95" t="str">
            <v>SINAPI</v>
          </cell>
          <cell r="C95">
            <v>96622</v>
          </cell>
          <cell r="D95" t="str">
            <v>LASTRO COM MATERIAL GRANULAR, APLICADO PARA PISOS OU LAJES SOBRE SOLO, ESPESSURA DE *5 CM*. AF_08/2017</v>
          </cell>
          <cell r="E95" t="str">
            <v>M3</v>
          </cell>
          <cell r="F95">
            <v>1.05</v>
          </cell>
          <cell r="G95">
            <v>128.79</v>
          </cell>
          <cell r="H95" t="str">
            <v>BDI 1</v>
          </cell>
          <cell r="I95">
            <v>159.18</v>
          </cell>
          <cell r="J95">
            <v>167.13</v>
          </cell>
          <cell r="K95">
            <v>0</v>
          </cell>
        </row>
        <row r="96">
          <cell r="A96" t="str">
            <v>4.5.3</v>
          </cell>
          <cell r="B96" t="str">
            <v>SINAPI</v>
          </cell>
          <cell r="C96">
            <v>97087</v>
          </cell>
          <cell r="D96" t="str">
            <v>CAMADA SEPARADORA PARA EXECUÇÃO DE RADIER, PISO DE CONCRETO OU LAJE SOBRE SOLO, EM LONA PLÁSTICA EXTRA FORTE PRETA, E = 200 MICRA. AF_09/2021</v>
          </cell>
          <cell r="E96" t="str">
            <v>M2</v>
          </cell>
          <cell r="F96">
            <v>20.94</v>
          </cell>
          <cell r="G96">
            <v>1.93</v>
          </cell>
          <cell r="H96" t="str">
            <v>BDI 1</v>
          </cell>
          <cell r="I96">
            <v>2.38</v>
          </cell>
          <cell r="J96">
            <v>49.83</v>
          </cell>
          <cell r="K96">
            <v>0</v>
          </cell>
        </row>
        <row r="97">
          <cell r="A97" t="str">
            <v>4.5.4</v>
          </cell>
          <cell r="B97" t="str">
            <v>SINAPI</v>
          </cell>
          <cell r="C97">
            <v>94995</v>
          </cell>
          <cell r="D97" t="str">
            <v>EXECUÇÃO DE PASSEIO (CALÇADA) OU PISO DE CONCRETO COM CONCRETO MOLDADO IN LOCO, USINADO, ACABAMENTO CONVENCIONAL, ESPESSURA 8 CM, ARMADO COM TELA DE ACO SOLDADA NERVURADA, CA-60, Q-196, (3,11 KG/M2). AF_08/2022</v>
          </cell>
          <cell r="E97" t="str">
            <v>M2</v>
          </cell>
          <cell r="F97">
            <v>20.94</v>
          </cell>
          <cell r="G97">
            <v>81.78</v>
          </cell>
          <cell r="H97" t="str">
            <v>BDI 1</v>
          </cell>
          <cell r="I97">
            <v>101.08</v>
          </cell>
          <cell r="J97">
            <v>2116.61</v>
          </cell>
          <cell r="K97">
            <v>0</v>
          </cell>
        </row>
        <row r="98">
          <cell r="A98" t="str">
            <v>4.6</v>
          </cell>
          <cell r="B98">
            <v>0</v>
          </cell>
          <cell r="C98">
            <v>0</v>
          </cell>
          <cell r="D98" t="str">
            <v>STOP-LOG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4.6.1</v>
          </cell>
          <cell r="B99" t="str">
            <v>COTADO</v>
          </cell>
          <cell r="C99" t="str">
            <v>C003</v>
          </cell>
          <cell r="D99" t="str">
            <v>STOP-LOG 1 (45 x 85CM) - 2 Unidades</v>
          </cell>
          <cell r="E99" t="str">
            <v>M2</v>
          </cell>
          <cell r="F99">
            <v>0.77</v>
          </cell>
          <cell r="G99">
            <v>3116.8888888888882</v>
          </cell>
          <cell r="H99" t="str">
            <v>BDI 1</v>
          </cell>
          <cell r="I99">
            <v>3852.47</v>
          </cell>
          <cell r="J99">
            <v>2966.4</v>
          </cell>
          <cell r="K99">
            <v>0</v>
          </cell>
        </row>
        <row r="100">
          <cell r="A100" t="str">
            <v>4.6.2</v>
          </cell>
          <cell r="B100" t="str">
            <v>COTADO</v>
          </cell>
          <cell r="C100" t="str">
            <v>C003</v>
          </cell>
          <cell r="D100" t="str">
            <v>STOP-LOG 2 (45 x 85CM) - 1 Unidade</v>
          </cell>
          <cell r="E100" t="str">
            <v>M2</v>
          </cell>
          <cell r="F100">
            <v>0.38</v>
          </cell>
          <cell r="G100">
            <v>3116.8888888888882</v>
          </cell>
          <cell r="H100" t="str">
            <v>BDI 1</v>
          </cell>
          <cell r="I100">
            <v>3852.47</v>
          </cell>
          <cell r="J100">
            <v>1463.93</v>
          </cell>
          <cell r="K100">
            <v>0</v>
          </cell>
        </row>
        <row r="101">
          <cell r="A101" t="str">
            <v>4.6.3</v>
          </cell>
          <cell r="B101" t="str">
            <v>COTADO</v>
          </cell>
          <cell r="C101" t="str">
            <v>C003</v>
          </cell>
          <cell r="D101" t="str">
            <v>STOP-LOG 3 (54 x 85CM) - 4 Unidades</v>
          </cell>
          <cell r="E101" t="str">
            <v>M2</v>
          </cell>
          <cell r="F101">
            <v>1.84</v>
          </cell>
          <cell r="G101">
            <v>3116.8888888888882</v>
          </cell>
          <cell r="H101" t="str">
            <v>BDI 1</v>
          </cell>
          <cell r="I101">
            <v>3852.47</v>
          </cell>
          <cell r="J101">
            <v>7088.54</v>
          </cell>
          <cell r="K101">
            <v>0</v>
          </cell>
        </row>
        <row r="102">
          <cell r="A102" t="str">
            <v>4.6.4</v>
          </cell>
          <cell r="B102" t="str">
            <v>SABESP</v>
          </cell>
          <cell r="C102">
            <v>70140133</v>
          </cell>
          <cell r="D102" t="str">
            <v>STOP-LOG - MONTAGEM</v>
          </cell>
          <cell r="E102" t="str">
            <v>M2</v>
          </cell>
          <cell r="F102">
            <v>2.98</v>
          </cell>
          <cell r="G102">
            <v>396.25</v>
          </cell>
          <cell r="H102" t="str">
            <v>BDI 2</v>
          </cell>
          <cell r="I102">
            <v>507.2</v>
          </cell>
          <cell r="J102">
            <v>1511.45</v>
          </cell>
          <cell r="K102">
            <v>0</v>
          </cell>
        </row>
        <row r="103">
          <cell r="A103" t="str">
            <v>4.7</v>
          </cell>
          <cell r="B103">
            <v>0</v>
          </cell>
          <cell r="C103">
            <v>0</v>
          </cell>
          <cell r="D103" t="str">
            <v>ELEMENTOS METÁLICOS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4.7.1</v>
          </cell>
          <cell r="B104" t="str">
            <v>SABESP</v>
          </cell>
          <cell r="C104">
            <v>70140141</v>
          </cell>
          <cell r="D104" t="str">
            <v>FORNECIMENTO E INSTALAÇÃO DE CESTO METÁLICO EM AÇO AISI 317L EM ESTAÇÃO ELEVATÓRIA (FORN E INST CESTO METÁLICO - COMPLETO INCLUSIVE ESTRUTURA P/ FIXAÇÃO)</v>
          </cell>
          <cell r="E104" t="str">
            <v xml:space="preserve">UN </v>
          </cell>
          <cell r="F104">
            <v>2</v>
          </cell>
          <cell r="G104">
            <v>7187.6093749999991</v>
          </cell>
          <cell r="H104" t="str">
            <v>BDI 2</v>
          </cell>
          <cell r="I104">
            <v>9200.14</v>
          </cell>
          <cell r="J104">
            <v>18400.28</v>
          </cell>
          <cell r="K104">
            <v>0</v>
          </cell>
        </row>
        <row r="105">
          <cell r="A105" t="str">
            <v>4.7.2</v>
          </cell>
          <cell r="B105" t="str">
            <v>SABESP</v>
          </cell>
          <cell r="C105">
            <v>70110087</v>
          </cell>
          <cell r="D105" t="str">
            <v>GRADE EM AÇO AISI 317L, ESPAÇAMENTO CONFORME PROJETO</v>
          </cell>
          <cell r="E105" t="str">
            <v>M2</v>
          </cell>
          <cell r="F105">
            <v>0.67</v>
          </cell>
          <cell r="G105">
            <v>2261.53125</v>
          </cell>
          <cell r="H105" t="str">
            <v>BDI 2</v>
          </cell>
          <cell r="I105">
            <v>2894.76</v>
          </cell>
          <cell r="J105">
            <v>1939.48</v>
          </cell>
          <cell r="K105">
            <v>0</v>
          </cell>
        </row>
        <row r="106">
          <cell r="A106" t="str">
            <v>4.8</v>
          </cell>
          <cell r="B106">
            <v>0</v>
          </cell>
          <cell r="C106">
            <v>0</v>
          </cell>
          <cell r="D106" t="str">
            <v>REATERRO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4.8.1</v>
          </cell>
          <cell r="B107" t="str">
            <v>SINAPI</v>
          </cell>
          <cell r="C107">
            <v>93368</v>
          </cell>
          <cell r="D107" t="str">
            <v>REATERRO MECANIZADO DE VALA COM ESCAVADEIRA HIDRÁULICA (CAPACIDADE DA CAÇAMBA: 0,8 M³/POTÊNCIA: 111 HP), LARGURA ATÉ 1,5 M, PROFUNDIDADE DE 1,5 A 3,0 M, COM SOLO (SEM SUBSTITUIÇÃO) DE 1ª CATEGORIA, COM COMPACTADOR DE SOLOS DE PERCUSSÃO. AF_08/2023</v>
          </cell>
          <cell r="E107" t="str">
            <v>M3</v>
          </cell>
          <cell r="F107">
            <v>40.99</v>
          </cell>
          <cell r="G107">
            <v>21.28</v>
          </cell>
          <cell r="H107" t="str">
            <v>BDI 1</v>
          </cell>
          <cell r="I107">
            <v>26.3</v>
          </cell>
          <cell r="J107">
            <v>1078.03</v>
          </cell>
          <cell r="K107">
            <v>0</v>
          </cell>
        </row>
        <row r="108">
          <cell r="A108" t="str">
            <v>5.</v>
          </cell>
          <cell r="B108">
            <v>0</v>
          </cell>
          <cell r="C108">
            <v>0</v>
          </cell>
          <cell r="D108" t="str">
            <v>RESERVATÓRIO DE ACÚMULO - RAC
(TANQUE PULMÃO)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288892.02</v>
          </cell>
          <cell r="K108">
            <v>0.42364926245230716</v>
          </cell>
        </row>
        <row r="109">
          <cell r="A109" t="str">
            <v>5.1</v>
          </cell>
          <cell r="B109">
            <v>0</v>
          </cell>
          <cell r="C109">
            <v>0</v>
          </cell>
          <cell r="D109" t="str">
            <v>PROJETO EXECUTIVO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5.1.1</v>
          </cell>
          <cell r="B110" t="str">
            <v>CPOS</v>
          </cell>
          <cell r="C110" t="str">
            <v>01.17.051</v>
          </cell>
          <cell r="D110" t="str">
            <v>PROJETO EXECUTIVO DE ESTRUTURA EM FORMATO A1</v>
          </cell>
          <cell r="E110" t="str">
            <v xml:space="preserve">UN </v>
          </cell>
          <cell r="F110">
            <v>2</v>
          </cell>
          <cell r="G110">
            <v>2400.17</v>
          </cell>
          <cell r="H110" t="str">
            <v>BDI 1</v>
          </cell>
          <cell r="I110">
            <v>2966.61</v>
          </cell>
          <cell r="J110">
            <v>5933.22</v>
          </cell>
          <cell r="K110">
            <v>0</v>
          </cell>
        </row>
        <row r="111">
          <cell r="A111" t="str">
            <v>5.2</v>
          </cell>
          <cell r="B111">
            <v>0</v>
          </cell>
          <cell r="C111">
            <v>0</v>
          </cell>
          <cell r="D111" t="str">
            <v>TANQUES EM PRFV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A112" t="str">
            <v>5.2.1</v>
          </cell>
          <cell r="B112" t="str">
            <v>SINAPI</v>
          </cell>
          <cell r="C112">
            <v>97083</v>
          </cell>
          <cell r="D112" t="str">
            <v>COMPACTAÇÃO MECÂNICA DE SOLO PARA EXECUÇÃO DE RADIER, PISO DE CONCRETO OU LAJE SOBRE SOLO, COM COMPACTADOR DE SOLOS A PERCUSSÃO. AF_09/2021</v>
          </cell>
          <cell r="E112" t="str">
            <v>M2</v>
          </cell>
          <cell r="F112">
            <v>59.01</v>
          </cell>
          <cell r="G112">
            <v>4.04</v>
          </cell>
          <cell r="H112" t="str">
            <v>BDI 1</v>
          </cell>
          <cell r="I112">
            <v>4.99</v>
          </cell>
          <cell r="J112">
            <v>294.45</v>
          </cell>
          <cell r="K112">
            <v>0</v>
          </cell>
        </row>
        <row r="113">
          <cell r="A113" t="str">
            <v>5.2.2</v>
          </cell>
          <cell r="B113" t="str">
            <v>SINAPI</v>
          </cell>
          <cell r="C113">
            <v>99058</v>
          </cell>
          <cell r="D113" t="str">
            <v>LOCAÇÃO DE PONTO PARA REFERÊNCIA TOPOGRÁFICA. AF_10/2018</v>
          </cell>
          <cell r="E113" t="str">
            <v>UN</v>
          </cell>
          <cell r="F113">
            <v>1</v>
          </cell>
          <cell r="G113">
            <v>21.27</v>
          </cell>
          <cell r="H113" t="str">
            <v>BDI 1</v>
          </cell>
          <cell r="I113">
            <v>26.28</v>
          </cell>
          <cell r="J113">
            <v>26.28</v>
          </cell>
          <cell r="K113">
            <v>0</v>
          </cell>
        </row>
        <row r="114">
          <cell r="A114" t="str">
            <v>5.2.3</v>
          </cell>
          <cell r="B114" t="str">
            <v>CPOS</v>
          </cell>
          <cell r="C114" t="str">
            <v>02.10.020</v>
          </cell>
          <cell r="D114" t="str">
            <v>LOCAÇÃO DE OBRA</v>
          </cell>
          <cell r="E114" t="str">
            <v>M2</v>
          </cell>
          <cell r="F114">
            <v>59.01</v>
          </cell>
          <cell r="G114">
            <v>16.84</v>
          </cell>
          <cell r="H114" t="str">
            <v>BDI 1</v>
          </cell>
          <cell r="I114">
            <v>20.81</v>
          </cell>
          <cell r="J114">
            <v>1227.99</v>
          </cell>
          <cell r="K114">
            <v>0</v>
          </cell>
        </row>
        <row r="115">
          <cell r="A115" t="str">
            <v>5.2.4</v>
          </cell>
          <cell r="B115" t="str">
            <v>COTADO</v>
          </cell>
          <cell r="C115" t="str">
            <v>C005</v>
          </cell>
          <cell r="D115" t="str">
            <v>TANQUES EM PLÁSTICO REFORÇADO COM FIBRA DE VIDRO (PRFV) DIÂM=2,45M; COMP=8,70M, CONFORME PROJETO DE REFERÊNCIA</v>
          </cell>
          <cell r="E115" t="str">
            <v xml:space="preserve">UN </v>
          </cell>
          <cell r="F115">
            <v>2</v>
          </cell>
          <cell r="G115">
            <v>101530</v>
          </cell>
          <cell r="H115" t="str">
            <v>BDI 1</v>
          </cell>
          <cell r="I115">
            <v>125491.08</v>
          </cell>
          <cell r="J115">
            <v>250982.16</v>
          </cell>
          <cell r="K115">
            <v>0</v>
          </cell>
        </row>
        <row r="116">
          <cell r="A116" t="str">
            <v>5.2.5</v>
          </cell>
          <cell r="B116" t="str">
            <v>SAAE</v>
          </cell>
          <cell r="C116" t="str">
            <v>S001</v>
          </cell>
          <cell r="D116" t="str">
            <v>INSTALAÇÃO DE TANQUES DE PRFV</v>
          </cell>
          <cell r="E116" t="str">
            <v xml:space="preserve">UN </v>
          </cell>
          <cell r="F116">
            <v>2</v>
          </cell>
          <cell r="G116">
            <v>4030.36</v>
          </cell>
          <cell r="H116" t="str">
            <v>BDI 1</v>
          </cell>
          <cell r="I116">
            <v>4981.5200000000004</v>
          </cell>
          <cell r="J116">
            <v>9963.0400000000009</v>
          </cell>
          <cell r="K116">
            <v>0</v>
          </cell>
        </row>
        <row r="117">
          <cell r="A117" t="str">
            <v>5.3</v>
          </cell>
          <cell r="B117">
            <v>0</v>
          </cell>
          <cell r="C117">
            <v>0</v>
          </cell>
          <cell r="D117" t="str">
            <v>ALÇAPÃO EM GRADES DE AÇO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5.3.1</v>
          </cell>
          <cell r="B118" t="str">
            <v>SABESP</v>
          </cell>
          <cell r="C118">
            <v>70110090</v>
          </cell>
          <cell r="D118" t="str">
            <v>ALÇAPÃO EM GRADE DE AÇO AISI 317L (OU EQUIVALENTE) COM BARRAS DE 2" X 3/8", ESPAÇAMENTO ATÉ 5,0 CM, INCLUINDO QUADRO DE APOIO</v>
          </cell>
          <cell r="E118" t="str">
            <v>M2</v>
          </cell>
          <cell r="F118">
            <v>1.1299999999999999</v>
          </cell>
          <cell r="G118">
            <v>1514.96875</v>
          </cell>
          <cell r="H118" t="str">
            <v>BDI 2</v>
          </cell>
          <cell r="I118">
            <v>1939.16</v>
          </cell>
          <cell r="J118">
            <v>2191.25</v>
          </cell>
          <cell r="K118">
            <v>0</v>
          </cell>
        </row>
        <row r="119">
          <cell r="A119" t="str">
            <v>5.4</v>
          </cell>
          <cell r="B119">
            <v>0</v>
          </cell>
          <cell r="C119">
            <v>0</v>
          </cell>
          <cell r="D119" t="str">
            <v>POÇOS PARA VÁLVULAS DE MANOBRA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5.4.1</v>
          </cell>
          <cell r="B120" t="str">
            <v>SINAPI</v>
          </cell>
          <cell r="C120">
            <v>101173</v>
          </cell>
          <cell r="D120" t="str">
            <v>ESTACA BROCA DE CONCRETO, DIÂMETRO DE 20CM, ESCAVAÇÃO MANUAL COM TRADO CONCHA, COM ARMADURA DE ARRANQUE. AF_05/2020</v>
          </cell>
          <cell r="E120" t="str">
            <v>M</v>
          </cell>
          <cell r="F120">
            <v>16</v>
          </cell>
          <cell r="G120">
            <v>62.46</v>
          </cell>
          <cell r="H120" t="str">
            <v>BDI 1</v>
          </cell>
          <cell r="I120">
            <v>77.2</v>
          </cell>
          <cell r="J120">
            <v>1235.2</v>
          </cell>
          <cell r="K120">
            <v>0</v>
          </cell>
        </row>
        <row r="121">
          <cell r="A121" t="str">
            <v>5.4.2</v>
          </cell>
          <cell r="B121" t="str">
            <v>SINAPI</v>
          </cell>
          <cell r="C121">
            <v>96620</v>
          </cell>
          <cell r="D121" t="str">
            <v>LASTRO DE CONCRETO MAGRO, APLICADO EM PISOS, LAJES SOBRE SOLO OU RADIERS. AF_08/2017</v>
          </cell>
          <cell r="E121" t="str">
            <v>M3</v>
          </cell>
          <cell r="F121">
            <v>0.17</v>
          </cell>
          <cell r="G121">
            <v>576.24</v>
          </cell>
          <cell r="H121" t="str">
            <v>BDI 1</v>
          </cell>
          <cell r="I121">
            <v>712.23</v>
          </cell>
          <cell r="J121">
            <v>121.07</v>
          </cell>
          <cell r="K121">
            <v>0</v>
          </cell>
        </row>
        <row r="122">
          <cell r="A122" t="str">
            <v>5.4.3</v>
          </cell>
          <cell r="B122" t="str">
            <v>SABESP</v>
          </cell>
          <cell r="C122">
            <v>70190091</v>
          </cell>
          <cell r="D122" t="str">
            <v>ANCORAGEM DE BARRAS DE AÇO - Ø 10,0 MM C/RESINA EPOXÍDICA</v>
          </cell>
          <cell r="E122" t="str">
            <v xml:space="preserve">UN </v>
          </cell>
          <cell r="F122">
            <v>22</v>
          </cell>
          <cell r="G122">
            <v>7.59375</v>
          </cell>
          <cell r="H122" t="str">
            <v>BDI 2</v>
          </cell>
          <cell r="I122">
            <v>9.7200000000000006</v>
          </cell>
          <cell r="J122">
            <v>213.84</v>
          </cell>
          <cell r="K122">
            <v>0</v>
          </cell>
        </row>
        <row r="123">
          <cell r="A123" t="str">
            <v>5.4.4</v>
          </cell>
          <cell r="B123" t="str">
            <v>SINAPI</v>
          </cell>
          <cell r="C123">
            <v>103320</v>
          </cell>
          <cell r="D123" t="str">
            <v>ALVENARIA DE BLOCOS VAZADOS DE CONCRETO DE 19X19X39 CM APARENTE (ESPESSURA 19 CM) E ARGAMASSA DE ASSENTAMENTO COM PREPARO EM BETONEIRA. AF_12/2021</v>
          </cell>
          <cell r="E123" t="str">
            <v>M2</v>
          </cell>
          <cell r="F123">
            <v>12.67</v>
          </cell>
          <cell r="G123">
            <v>119.19</v>
          </cell>
          <cell r="H123" t="str">
            <v>BDI 1</v>
          </cell>
          <cell r="I123">
            <v>147.31</v>
          </cell>
          <cell r="J123">
            <v>1866.41</v>
          </cell>
          <cell r="K123">
            <v>0</v>
          </cell>
        </row>
        <row r="124">
          <cell r="A124" t="str">
            <v>5.4.5</v>
          </cell>
          <cell r="B124" t="str">
            <v>SINAPI</v>
          </cell>
          <cell r="C124">
            <v>93205</v>
          </cell>
          <cell r="D124" t="str">
            <v>CINTA DE AMARRAÇÃO DE ALVENARIA MOLDADA IN LOCO COM UTILIZAÇÃO DE BLOCOS CANALETA ARMADA COM 2 BARRAS DE AÇO CA-50 DE 8,0MM. AF_03/2016</v>
          </cell>
          <cell r="E124" t="str">
            <v>M</v>
          </cell>
          <cell r="F124">
            <v>21.06</v>
          </cell>
          <cell r="G124">
            <v>39.200000000000003</v>
          </cell>
          <cell r="H124" t="str">
            <v>BDI 1</v>
          </cell>
          <cell r="I124">
            <v>48.45</v>
          </cell>
          <cell r="J124">
            <v>1020.35</v>
          </cell>
          <cell r="K124">
            <v>0</v>
          </cell>
        </row>
        <row r="125">
          <cell r="A125" t="str">
            <v>5.4.6</v>
          </cell>
          <cell r="B125" t="str">
            <v>SINAPI</v>
          </cell>
          <cell r="C125">
            <v>89996</v>
          </cell>
          <cell r="D125" t="str">
            <v>ARMAÇÃO VERTICAL DE ALVENARIA ESTRUTURAL; DIÂMETRO DE 10,0 MM. AF_09/2021</v>
          </cell>
          <cell r="E125" t="str">
            <v>KG</v>
          </cell>
          <cell r="F125">
            <v>20.73</v>
          </cell>
          <cell r="G125">
            <v>11.06</v>
          </cell>
          <cell r="H125" t="str">
            <v>BDI 1</v>
          </cell>
          <cell r="I125">
            <v>13.67</v>
          </cell>
          <cell r="J125">
            <v>283.37</v>
          </cell>
          <cell r="K125">
            <v>0</v>
          </cell>
        </row>
        <row r="126">
          <cell r="A126" t="str">
            <v>5.4.7</v>
          </cell>
          <cell r="B126" t="str">
            <v>SINAPI</v>
          </cell>
          <cell r="C126">
            <v>89993</v>
          </cell>
          <cell r="D126" t="str">
            <v>GRAUTEAMENTO VERTICAL EM ALVENARIA ESTRUTURAL. AF_09/2021 - GRAUTE FGK=20 MPA</v>
          </cell>
          <cell r="E126" t="str">
            <v>M3</v>
          </cell>
          <cell r="F126">
            <v>2.5299999999999998</v>
          </cell>
          <cell r="G126">
            <v>980.79</v>
          </cell>
          <cell r="H126" t="str">
            <v>BDI 1</v>
          </cell>
          <cell r="I126">
            <v>1212.25</v>
          </cell>
          <cell r="J126">
            <v>3066.99</v>
          </cell>
          <cell r="K126">
            <v>0</v>
          </cell>
        </row>
        <row r="127">
          <cell r="A127" t="str">
            <v>5.4.8</v>
          </cell>
          <cell r="B127" t="str">
            <v>CPOS</v>
          </cell>
          <cell r="C127" t="str">
            <v>11.18.040</v>
          </cell>
          <cell r="D127" t="str">
            <v>LASTRO DE PEDRA BRITADA</v>
          </cell>
          <cell r="E127" t="str">
            <v>M3</v>
          </cell>
          <cell r="F127">
            <v>0.65</v>
          </cell>
          <cell r="G127">
            <v>187.88</v>
          </cell>
          <cell r="H127" t="str">
            <v>BDI 1</v>
          </cell>
          <cell r="I127">
            <v>232.21</v>
          </cell>
          <cell r="J127">
            <v>150.93</v>
          </cell>
          <cell r="K127">
            <v>0</v>
          </cell>
        </row>
        <row r="128">
          <cell r="A128" t="str">
            <v>5.4.9</v>
          </cell>
          <cell r="B128" t="str">
            <v>SABESP</v>
          </cell>
          <cell r="C128">
            <v>70110161</v>
          </cell>
          <cell r="D128" t="str">
            <v>ESCADA TIPO MARINHEIRO EM FIBRA DE VIDRO</v>
          </cell>
          <cell r="E128" t="str">
            <v>M</v>
          </cell>
          <cell r="F128">
            <v>2.5</v>
          </cell>
          <cell r="G128">
            <v>1303.671875</v>
          </cell>
          <cell r="H128" t="str">
            <v>BDI 2</v>
          </cell>
          <cell r="I128">
            <v>1668.7</v>
          </cell>
          <cell r="J128">
            <v>4171.75</v>
          </cell>
          <cell r="K128">
            <v>0</v>
          </cell>
        </row>
        <row r="129">
          <cell r="A129" t="str">
            <v>5.4.10</v>
          </cell>
          <cell r="B129" t="str">
            <v>SABESP</v>
          </cell>
          <cell r="C129">
            <v>70110090</v>
          </cell>
          <cell r="D129" t="str">
            <v>ALÇAPÃO EM GRADE DE AÇO AISI 317L (OU EQUIVALENTE) COM BARRAS DE 2" X 3/8", ESPAÇAMENTO ATÉ 5,0 CM, INCLUINDO QUADRO DE APOIO</v>
          </cell>
          <cell r="E129" t="str">
            <v>M2</v>
          </cell>
          <cell r="F129">
            <v>2.16</v>
          </cell>
          <cell r="G129">
            <v>1514.96875</v>
          </cell>
          <cell r="H129" t="str">
            <v>BDI 2</v>
          </cell>
          <cell r="I129">
            <v>1939.16</v>
          </cell>
          <cell r="J129">
            <v>4188.58</v>
          </cell>
          <cell r="K129">
            <v>0</v>
          </cell>
        </row>
        <row r="130">
          <cell r="A130" t="str">
            <v>5.5</v>
          </cell>
          <cell r="B130">
            <v>0</v>
          </cell>
          <cell r="C130">
            <v>0</v>
          </cell>
          <cell r="D130" t="str">
            <v>REATERRO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5.5.1</v>
          </cell>
          <cell r="B131" t="str">
            <v>SINAPI</v>
          </cell>
          <cell r="C131">
            <v>93368</v>
          </cell>
          <cell r="D131" t="str">
            <v>REATERRO MECANIZADO DE VALA COM ESCAVADEIRA HIDRÁULICA (CAPACIDADE DA CAÇAMBA: 0,8 M³/POTÊNCIA: 111 HP), LARGURA ATÉ 1,5 M, PROFUNDIDADE DE 1,5 A 3,0 M, COM SOLO (SEM SUBSTITUIÇÃO) DE 1ª CATEGORIA, COM COMPACTADOR DE SOLOS DE PERCUSSÃO. AF_08/2023</v>
          </cell>
          <cell r="E131" t="str">
            <v>M3</v>
          </cell>
          <cell r="F131">
            <v>74.34</v>
          </cell>
          <cell r="G131">
            <v>21.28</v>
          </cell>
          <cell r="H131" t="str">
            <v>BDI 1</v>
          </cell>
          <cell r="I131">
            <v>26.3</v>
          </cell>
          <cell r="J131">
            <v>1955.14</v>
          </cell>
          <cell r="K131">
            <v>0</v>
          </cell>
        </row>
        <row r="132">
          <cell r="A132" t="str">
            <v>6.</v>
          </cell>
          <cell r="B132">
            <v>0</v>
          </cell>
          <cell r="C132">
            <v>0</v>
          </cell>
          <cell r="D132" t="str">
            <v>INSTALAÇÕES HIDRÁULICAS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125916.5</v>
          </cell>
          <cell r="K132">
            <v>0.18465180296629838</v>
          </cell>
        </row>
        <row r="133">
          <cell r="A133" t="str">
            <v>6.1</v>
          </cell>
          <cell r="B133">
            <v>0</v>
          </cell>
          <cell r="C133">
            <v>0</v>
          </cell>
          <cell r="D133" t="str">
            <v>TUBOS, VÁLVULAS E PEÇAS EM FERRO FUNDIDO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6.1.1</v>
          </cell>
          <cell r="B134" t="str">
            <v>SABESP</v>
          </cell>
          <cell r="C134">
            <v>70140023</v>
          </cell>
          <cell r="D134" t="str">
            <v>TUBOS E CONEXÕES METÁLICOS FLANGEADOS - MONTAGEM</v>
          </cell>
          <cell r="E134" t="str">
            <v>KG</v>
          </cell>
          <cell r="F134">
            <v>1317.9</v>
          </cell>
          <cell r="G134">
            <v>2.28125</v>
          </cell>
          <cell r="H134" t="str">
            <v>BDI 2</v>
          </cell>
          <cell r="I134">
            <v>2.92</v>
          </cell>
          <cell r="J134">
            <v>3848.26</v>
          </cell>
          <cell r="K134">
            <v>0</v>
          </cell>
        </row>
        <row r="135">
          <cell r="A135" t="str">
            <v>6.1.2</v>
          </cell>
          <cell r="B135" t="str">
            <v>SABESP</v>
          </cell>
          <cell r="C135" t="str">
            <v>HM06307</v>
          </cell>
          <cell r="D135" t="str">
            <v>EXTREMIDADE PONTA - FLANGE PN10 E ABA DE VEDAÇÃO FERRO FUNDIDO DN=300 MM L=700
MM (75,00 KG) PINTURA EPÓXI VERMELHA - ACESSÓRIOS NÃO INCLUSOS NBR 15420 ESGOTO</v>
          </cell>
          <cell r="E135" t="str">
            <v xml:space="preserve">UN </v>
          </cell>
          <cell r="F135">
            <v>2</v>
          </cell>
          <cell r="G135">
            <v>3749.94</v>
          </cell>
          <cell r="H135" t="str">
            <v>BDI 2</v>
          </cell>
          <cell r="I135">
            <v>4799.92</v>
          </cell>
          <cell r="J135">
            <v>9599.84</v>
          </cell>
          <cell r="K135">
            <v>0</v>
          </cell>
        </row>
        <row r="136">
          <cell r="A136" t="str">
            <v>6.1.3</v>
          </cell>
          <cell r="B136" t="str">
            <v>SABESP</v>
          </cell>
          <cell r="C136" t="str">
            <v>HM06663</v>
          </cell>
          <cell r="D136" t="str">
            <v>TOCO COM FLANGES PN10 FERRO FUNDIDO DN=300 MM L=500 MM (76,00 KG) PINTURA EPÓXI
VERMELHA, ACESSÓRIOS NÃO INCLUSOS NBR 15420 ESGOTO</v>
          </cell>
          <cell r="E136" t="str">
            <v xml:space="preserve">UN </v>
          </cell>
          <cell r="F136">
            <v>1</v>
          </cell>
          <cell r="G136">
            <v>2543.4299999999998</v>
          </cell>
          <cell r="H136" t="str">
            <v>BDI 2</v>
          </cell>
          <cell r="I136">
            <v>3255.59</v>
          </cell>
          <cell r="J136">
            <v>3255.59</v>
          </cell>
          <cell r="K136">
            <v>0</v>
          </cell>
        </row>
        <row r="137">
          <cell r="A137" t="str">
            <v>6.1.4</v>
          </cell>
          <cell r="B137" t="str">
            <v>SABESP</v>
          </cell>
          <cell r="C137" t="str">
            <v>HM07074</v>
          </cell>
          <cell r="D137" t="str">
            <v>VÁLVULA GAVETA C/FLANGES PN10 FERRO FUNDIDO DN=300 MM (155,00 KG), ACION. CABEÇOTE, CUNHA DE BORRACHA, MÉTRICA CHATA, PINTURA EPÓXI EM PÓ NBR 14968
ÁGUA/ESGOTO</v>
          </cell>
          <cell r="E137" t="str">
            <v xml:space="preserve">UN </v>
          </cell>
          <cell r="F137">
            <v>2</v>
          </cell>
          <cell r="G137">
            <v>5261.72</v>
          </cell>
          <cell r="H137" t="str">
            <v>BDI 2</v>
          </cell>
          <cell r="I137">
            <v>6735</v>
          </cell>
          <cell r="J137">
            <v>13470</v>
          </cell>
          <cell r="K137">
            <v>0</v>
          </cell>
        </row>
        <row r="138">
          <cell r="A138" t="str">
            <v>6.1.5</v>
          </cell>
          <cell r="B138" t="str">
            <v>SABESP</v>
          </cell>
          <cell r="C138" t="str">
            <v>HM06803</v>
          </cell>
          <cell r="D138" t="str">
            <v>TUBO C/FLANGE PN10 E PONTA FERRO FUNDIDO DN=300 MM L=2.000 MM (132,20 KG) PINTURA
EPÓXI VERMELHA, ACESSÓRIOS NÃO INCLUSOS NBR 15420 ESGOTO</v>
          </cell>
          <cell r="E138" t="str">
            <v xml:space="preserve">UN </v>
          </cell>
          <cell r="F138">
            <v>1</v>
          </cell>
          <cell r="G138">
            <v>4642.9399999999996</v>
          </cell>
          <cell r="H138" t="str">
            <v>BDI 2</v>
          </cell>
          <cell r="I138">
            <v>5942.96</v>
          </cell>
          <cell r="J138">
            <v>5942.96</v>
          </cell>
          <cell r="K138">
            <v>0</v>
          </cell>
        </row>
        <row r="139">
          <cell r="A139" t="str">
            <v>6.1.6</v>
          </cell>
          <cell r="B139" t="str">
            <v>SABESP</v>
          </cell>
          <cell r="C139" t="str">
            <v>HM06297</v>
          </cell>
          <cell r="D139" t="str">
            <v>EXTREMIDADE BOLSA JE2GS - FLANGE PN10 FERRO FUNDIDO DN=300 MM L=150 MM (37,60 KG) PINTURA EPÓXI VERMELHA E ANEL DE BORRACHA INCLUSO NBR 15420 ESGOTO</v>
          </cell>
          <cell r="E139" t="str">
            <v xml:space="preserve">UN </v>
          </cell>
          <cell r="F139">
            <v>1</v>
          </cell>
          <cell r="G139">
            <v>1081.72</v>
          </cell>
          <cell r="H139" t="str">
            <v>BDI 2</v>
          </cell>
          <cell r="I139">
            <v>1384.6</v>
          </cell>
          <cell r="J139">
            <v>1384.6</v>
          </cell>
          <cell r="K139">
            <v>0</v>
          </cell>
        </row>
        <row r="140">
          <cell r="A140" t="str">
            <v>6.1.7</v>
          </cell>
          <cell r="B140" t="str">
            <v>SABESP</v>
          </cell>
          <cell r="C140" t="str">
            <v>HM03162</v>
          </cell>
          <cell r="D140" t="str">
            <v>JUNTA DE DESMONTAGEM TRAVADA AXIALMENTE FERRO FUNDIDO DN=300 MM PN10 * (92,00 KG) - PINTURA EPÓXI POLIAMIDA</v>
          </cell>
          <cell r="E140" t="str">
            <v xml:space="preserve">UN </v>
          </cell>
          <cell r="F140">
            <v>2</v>
          </cell>
          <cell r="G140">
            <v>3213.79</v>
          </cell>
          <cell r="H140" t="str">
            <v>BDI 2</v>
          </cell>
          <cell r="I140">
            <v>4113.6499999999996</v>
          </cell>
          <cell r="J140">
            <v>8227.2999999999993</v>
          </cell>
          <cell r="K140">
            <v>0</v>
          </cell>
        </row>
        <row r="141">
          <cell r="A141" t="str">
            <v>6.1.8</v>
          </cell>
          <cell r="B141" t="str">
            <v>SABESP</v>
          </cell>
          <cell r="C141" t="str">
            <v>HM06944</v>
          </cell>
          <cell r="D141" t="str">
            <v>TUBO C/FLANGES PN10 FERRO FUNDIDO DN=300 MM L=800 MM (93,10 KG) PINTURA EPÓXI
VERMELHA, ACESSÓRIOS NÃO INCLUSOS NBR 15420 ESGOTO</v>
          </cell>
          <cell r="E141" t="str">
            <v xml:space="preserve">UN </v>
          </cell>
          <cell r="F141">
            <v>1</v>
          </cell>
          <cell r="G141">
            <v>4587.6400000000003</v>
          </cell>
          <cell r="H141" t="str">
            <v>BDI 2</v>
          </cell>
          <cell r="I141">
            <v>5872.17</v>
          </cell>
          <cell r="J141">
            <v>5872.17</v>
          </cell>
          <cell r="K141">
            <v>0</v>
          </cell>
        </row>
        <row r="142">
          <cell r="A142" t="str">
            <v>6.1.9</v>
          </cell>
          <cell r="B142" t="str">
            <v>SABESP</v>
          </cell>
          <cell r="C142" t="str">
            <v>HM06933</v>
          </cell>
          <cell r="D142" t="str">
            <v>TUBO C/FLANGES PN10 FERRO FUNDIDO DN=250 MM L=900 MM (74,40 KG) PINTURA EPÓXI
VERMELHA, ACESSÓRIOS NÃO INCLUSOS NBR 15420 ESGOTO</v>
          </cell>
          <cell r="E142" t="str">
            <v xml:space="preserve">UN </v>
          </cell>
          <cell r="F142">
            <v>2</v>
          </cell>
          <cell r="G142">
            <v>3779.48</v>
          </cell>
          <cell r="H142" t="str">
            <v>BDI 2</v>
          </cell>
          <cell r="I142">
            <v>4837.7299999999996</v>
          </cell>
          <cell r="J142">
            <v>9675.4599999999991</v>
          </cell>
          <cell r="K142">
            <v>0</v>
          </cell>
        </row>
        <row r="143">
          <cell r="A143" t="str">
            <v>6.1.10</v>
          </cell>
          <cell r="B143" t="str">
            <v>SABESP</v>
          </cell>
          <cell r="C143" t="str">
            <v>HM06944</v>
          </cell>
          <cell r="D143" t="str">
            <v>TUBO C/FLANGES PN10 FERRO FUNDIDO DN=300 MM L=1000 MM (93,10 KG) PINTURA EPÓXI
VERMELHA, ACESSÓRIOS NÃO INCLUSOS NBR 15420 ESGOTO</v>
          </cell>
          <cell r="E143" t="str">
            <v xml:space="preserve">UN </v>
          </cell>
          <cell r="F143">
            <v>2</v>
          </cell>
          <cell r="G143">
            <v>4587.6400000000003</v>
          </cell>
          <cell r="H143" t="str">
            <v>BDI 2</v>
          </cell>
          <cell r="I143">
            <v>5872.17</v>
          </cell>
          <cell r="J143">
            <v>11744.34</v>
          </cell>
          <cell r="K143">
            <v>0</v>
          </cell>
        </row>
        <row r="144">
          <cell r="A144" t="str">
            <v>6.1.11</v>
          </cell>
          <cell r="B144" t="str">
            <v>SABESP</v>
          </cell>
          <cell r="C144" t="str">
            <v>HM06121</v>
          </cell>
          <cell r="D144" t="str">
            <v>ACESSÓRIOS PARA FLANGE DN=300 PN10 AÇO INOX 304 D=3/4" X L=3 1/2" 12 CJ (PARAFUSOS,
PORCAS E ARRUELAS) NORMA 0100-400-E027 FL3/3</v>
          </cell>
          <cell r="E144" t="str">
            <v xml:space="preserve">UN </v>
          </cell>
          <cell r="F144">
            <v>14</v>
          </cell>
          <cell r="G144">
            <v>1350.12</v>
          </cell>
          <cell r="H144" t="str">
            <v>BDI 2</v>
          </cell>
          <cell r="I144">
            <v>1728.15</v>
          </cell>
          <cell r="J144">
            <v>24194.1</v>
          </cell>
          <cell r="K144">
            <v>0</v>
          </cell>
        </row>
        <row r="145">
          <cell r="A145" t="str">
            <v>6.1.12</v>
          </cell>
          <cell r="B145" t="str">
            <v>SABESP</v>
          </cell>
          <cell r="C145" t="str">
            <v>HM07305</v>
          </cell>
          <cell r="D145" t="str">
            <v>ARRUELA DE VEDAÇÃO BORRACHA NATURAL NR1087 C/1 LONA E=3MM DE=455MM DI=329MM
P/FLANGE PN10 DN300 FACE PLENA</v>
          </cell>
          <cell r="E145" t="str">
            <v xml:space="preserve">UN </v>
          </cell>
          <cell r="F145">
            <v>14</v>
          </cell>
          <cell r="G145">
            <v>64.44</v>
          </cell>
          <cell r="H145" t="str">
            <v>BDI 2</v>
          </cell>
          <cell r="I145">
            <v>82.48</v>
          </cell>
          <cell r="J145">
            <v>1154.72</v>
          </cell>
          <cell r="K145">
            <v>0</v>
          </cell>
        </row>
        <row r="146">
          <cell r="A146" t="str">
            <v>6.1.13</v>
          </cell>
          <cell r="B146" t="str">
            <v>SABESP</v>
          </cell>
          <cell r="C146" t="str">
            <v>HM06120</v>
          </cell>
          <cell r="D146" t="str">
            <v>ACESSÓRIOS PARA FLANGE DN=250 PN10 AÇO INOX 304 D=3/4" X L=3 1/2" 12 CJ (PARAFUSO,
PORCA E ARRUELA) NORMA 0100-400-E027 FL3/3</v>
          </cell>
          <cell r="E146" t="str">
            <v xml:space="preserve">UN </v>
          </cell>
          <cell r="F146">
            <v>4</v>
          </cell>
          <cell r="G146">
            <v>1350.12</v>
          </cell>
          <cell r="H146" t="str">
            <v>BDI 2</v>
          </cell>
          <cell r="I146">
            <v>1728.15</v>
          </cell>
          <cell r="J146">
            <v>6912.6</v>
          </cell>
          <cell r="K146">
            <v>0</v>
          </cell>
        </row>
        <row r="147">
          <cell r="A147" t="str">
            <v>6.1.14</v>
          </cell>
          <cell r="B147" t="str">
            <v>SABESP</v>
          </cell>
          <cell r="C147" t="str">
            <v>HM07304</v>
          </cell>
          <cell r="D147" t="str">
            <v>ARRUELA DE VEDAÇÃO BORRACHA NATURAL NR1087 C/1 LONA E=3MM DE=400MM DI=278MM
P/FLANGE PN10 DN250 FACE PLENA</v>
          </cell>
          <cell r="E147" t="str">
            <v xml:space="preserve">UN </v>
          </cell>
          <cell r="F147">
            <v>4</v>
          </cell>
          <cell r="G147">
            <v>51.28</v>
          </cell>
          <cell r="H147" t="str">
            <v>BDI 2</v>
          </cell>
          <cell r="I147">
            <v>65.63</v>
          </cell>
          <cell r="J147">
            <v>262.52</v>
          </cell>
          <cell r="K147">
            <v>0</v>
          </cell>
        </row>
        <row r="148">
          <cell r="A148" t="str">
            <v>6.1.15</v>
          </cell>
          <cell r="B148" t="str">
            <v>SABESP</v>
          </cell>
          <cell r="C148" t="str">
            <v>HM06361</v>
          </cell>
          <cell r="D148" t="str">
            <v>HASTE DE PROLONGAMENTO C/QUADRADO E BOCA DE CHAVE FERRO TREFILADO D=1.1/8" X L=3,00M (5 KG/M) PINTURA EPÓXI AZUL P/ MANOBRA DE VÁLVULAS</v>
          </cell>
          <cell r="E148" t="str">
            <v xml:space="preserve">UN </v>
          </cell>
          <cell r="F148">
            <v>1</v>
          </cell>
          <cell r="G148">
            <v>3683.18</v>
          </cell>
          <cell r="H148" t="str">
            <v>BDI 2</v>
          </cell>
          <cell r="I148">
            <v>4714.47</v>
          </cell>
          <cell r="J148">
            <v>4714.47</v>
          </cell>
          <cell r="K148">
            <v>0</v>
          </cell>
        </row>
        <row r="149">
          <cell r="A149" t="str">
            <v>6.2</v>
          </cell>
          <cell r="B149">
            <v>0</v>
          </cell>
          <cell r="C149">
            <v>0</v>
          </cell>
          <cell r="D149" t="str">
            <v>TUBOS EM MPVC DEFoFo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6.2.1</v>
          </cell>
          <cell r="B150" t="str">
            <v>CPOS</v>
          </cell>
          <cell r="C150" t="str">
            <v>46.04.090</v>
          </cell>
          <cell r="D150" t="str">
            <v>TUBO DE PVC RÍGIDO DEFOFO, DN= 300MM (DE= 326MM), INCLUSIVE CONEXÕES</v>
          </cell>
          <cell r="E150" t="str">
            <v>M</v>
          </cell>
          <cell r="F150">
            <v>9</v>
          </cell>
          <cell r="G150">
            <v>589.45000000000005</v>
          </cell>
          <cell r="H150" t="str">
            <v>BDI 1</v>
          </cell>
          <cell r="I150">
            <v>728.56</v>
          </cell>
          <cell r="J150">
            <v>6557.04</v>
          </cell>
          <cell r="K150">
            <v>0</v>
          </cell>
        </row>
        <row r="151">
          <cell r="A151" t="str">
            <v>6.3</v>
          </cell>
          <cell r="B151">
            <v>0</v>
          </cell>
          <cell r="C151">
            <v>0</v>
          </cell>
          <cell r="D151" t="str">
            <v>LINHA DE RECALQUE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6.3.1</v>
          </cell>
          <cell r="B152" t="str">
            <v>SINAPI</v>
          </cell>
          <cell r="C152">
            <v>102276</v>
          </cell>
          <cell r="D152" t="str">
            <v>ESCAVAÇÃO MECANIZADA DE VALA COM PROF. ATÉ 1,5 M (MÉDIA MONTANTE E JUSANTE/UMA COMPOSIÇÃO POR TRECHO), ESCAVADEIRA (0,8 M3), LARG. MENOR QUE 1,5 M, EM SOLO DE 1A CATEGORIA, EM LOCAIS COM ALTO NÍVEL DE INTERFERÊNCIA. AF_02/2021</v>
          </cell>
          <cell r="E152" t="str">
            <v>M3</v>
          </cell>
          <cell r="F152">
            <v>56.7</v>
          </cell>
          <cell r="G152">
            <v>13.61</v>
          </cell>
          <cell r="H152" t="str">
            <v>BDI 1</v>
          </cell>
          <cell r="I152">
            <v>16.82</v>
          </cell>
          <cell r="J152">
            <v>953.69</v>
          </cell>
          <cell r="K152">
            <v>0</v>
          </cell>
        </row>
        <row r="153">
          <cell r="A153" t="str">
            <v>6.3.2</v>
          </cell>
          <cell r="B153" t="str">
            <v>SABESP</v>
          </cell>
          <cell r="C153">
            <v>70180056</v>
          </cell>
          <cell r="D153" t="str">
            <v>REMOÇÃO DE TUBULAÇÕES E PEÇAS FLANGEADAS EM GERAL</v>
          </cell>
          <cell r="E153" t="str">
            <v>M</v>
          </cell>
          <cell r="F153">
            <v>22.23</v>
          </cell>
          <cell r="G153">
            <v>9.25</v>
          </cell>
          <cell r="H153" t="str">
            <v>BDI 2</v>
          </cell>
          <cell r="I153">
            <v>11.84</v>
          </cell>
          <cell r="J153">
            <v>263.2</v>
          </cell>
          <cell r="K153">
            <v>0</v>
          </cell>
        </row>
        <row r="154">
          <cell r="A154" t="str">
            <v>6.3.3</v>
          </cell>
          <cell r="B154" t="str">
            <v>SINAPI</v>
          </cell>
          <cell r="C154">
            <v>97144</v>
          </cell>
          <cell r="D154" t="str">
            <v>ASSENTAMENTO DE TUBO DE FERRO FUNDIDO, DN 200 MM, JUNTA ELÁSTICA, INSTALADO EM LOCAL COM NÍVEL ALTO DE INTERFERÊNCIAS (NÃO INCLUI FORNECIMENTO). AF_11/2017</v>
          </cell>
          <cell r="E154" t="str">
            <v>M</v>
          </cell>
          <cell r="F154">
            <v>15.36</v>
          </cell>
          <cell r="G154">
            <v>16.579999999999998</v>
          </cell>
          <cell r="H154" t="str">
            <v>BDI 1</v>
          </cell>
          <cell r="I154">
            <v>20.49</v>
          </cell>
          <cell r="J154">
            <v>314.72000000000003</v>
          </cell>
          <cell r="K154">
            <v>0</v>
          </cell>
        </row>
        <row r="155">
          <cell r="A155" t="str">
            <v>6.3.4</v>
          </cell>
          <cell r="B155" t="str">
            <v>SINAPI</v>
          </cell>
          <cell r="C155">
            <v>103092</v>
          </cell>
          <cell r="D155" t="str">
            <v>ASSENTAMENTO DE TUBO DE FERRO FUNDIDO, DN 200 MM, JUNTA FLANGEADA (NÃO INCLUI O FORNECIMENTO). AF_09/2021</v>
          </cell>
          <cell r="E155" t="str">
            <v>M</v>
          </cell>
          <cell r="F155">
            <v>1.75</v>
          </cell>
          <cell r="G155">
            <v>28.54</v>
          </cell>
          <cell r="H155" t="str">
            <v>BDI 1</v>
          </cell>
          <cell r="I155">
            <v>35.270000000000003</v>
          </cell>
          <cell r="J155">
            <v>61.72</v>
          </cell>
          <cell r="K155">
            <v>0</v>
          </cell>
        </row>
        <row r="156">
          <cell r="A156" t="str">
            <v>6.3.5</v>
          </cell>
          <cell r="B156" t="str">
            <v>SINAPI</v>
          </cell>
          <cell r="C156">
            <v>103124</v>
          </cell>
          <cell r="D156" t="str">
            <v>ASSENTAMENTO DE CONEXÃO COM 3 ACESSOS, FERRO FUNDIDO, DN 200 MM, JUNTA FLANGEADA (NÃO INCLUI O FORNECIMENTO). AF_09/2021</v>
          </cell>
          <cell r="E156" t="str">
            <v xml:space="preserve">UN </v>
          </cell>
          <cell r="F156">
            <v>2</v>
          </cell>
          <cell r="G156">
            <v>167.2</v>
          </cell>
          <cell r="H156" t="str">
            <v>BDI 1</v>
          </cell>
          <cell r="I156">
            <v>206.65</v>
          </cell>
          <cell r="J156">
            <v>413.3</v>
          </cell>
          <cell r="K156">
            <v>0</v>
          </cell>
        </row>
        <row r="157">
          <cell r="A157" t="str">
            <v>6.3.6</v>
          </cell>
          <cell r="B157" t="str">
            <v>SINAPI</v>
          </cell>
          <cell r="C157">
            <v>103108</v>
          </cell>
          <cell r="D157" t="str">
            <v>ASSENTAMENTO DE CONEXÃO COM 2 ACESSOS, FERRO FUNDIDO, DN 200 MM, JUNTA FLANGEADA (NÃO INCLUI O FORNECIMENTO). AF_09/2021</v>
          </cell>
          <cell r="E157" t="str">
            <v xml:space="preserve">UN </v>
          </cell>
          <cell r="F157">
            <v>2</v>
          </cell>
          <cell r="G157">
            <v>117.8</v>
          </cell>
          <cell r="H157" t="str">
            <v>BDI 1</v>
          </cell>
          <cell r="I157">
            <v>145.6</v>
          </cell>
          <cell r="J157">
            <v>291.2</v>
          </cell>
          <cell r="K157">
            <v>0</v>
          </cell>
        </row>
        <row r="158">
          <cell r="A158" t="str">
            <v>6.3.7</v>
          </cell>
          <cell r="B158" t="str">
            <v>SINAPI</v>
          </cell>
          <cell r="C158">
            <v>93378</v>
          </cell>
          <cell r="D158" t="str">
            <v>REATERRO MECANIZADO DE VALA COM RETROESCAVADEIRA (CAPACIDADE DA CAÇAMBA DA RETRO: 0,26 M³/POTÊNCIA: 88 HP), LARGURA ATÉ 0,8 M, PROFUNDIDADE ATÉ 1,5 M, COM SOLO (SEM SUBSTITUIÇÃO) DE 1ª CATEGORIA, COM COMPACTADOR DE SOLOS DE PERCUSSÃO. AF_08/2023</v>
          </cell>
          <cell r="E158" t="str">
            <v>M3</v>
          </cell>
          <cell r="F158">
            <v>56.7</v>
          </cell>
          <cell r="G158">
            <v>24.65</v>
          </cell>
          <cell r="H158" t="str">
            <v>BDI 1</v>
          </cell>
          <cell r="I158">
            <v>30.46</v>
          </cell>
          <cell r="J158">
            <v>1727.08</v>
          </cell>
          <cell r="K158">
            <v>0</v>
          </cell>
        </row>
        <row r="159">
          <cell r="A159" t="str">
            <v>6.4</v>
          </cell>
          <cell r="B159">
            <v>0</v>
          </cell>
          <cell r="C159">
            <v>0</v>
          </cell>
          <cell r="D159" t="str">
            <v>DRENAGEM INTERNA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6.4.1</v>
          </cell>
          <cell r="B160" t="str">
            <v>SINAPI</v>
          </cell>
          <cell r="C160">
            <v>99260</v>
          </cell>
          <cell r="D160" t="str">
            <v>CAIXA ENTERRADA HIDRÁULICA RETANGULAR, EM ALVENARIA COM BLOCOS DE CONCRETO, DIMENSÕES INTERNAS: 0,6X0,6X0,6 M PARA REDE DE DRENAGEM. AF_12/2020</v>
          </cell>
          <cell r="E160" t="str">
            <v xml:space="preserve">UN </v>
          </cell>
          <cell r="F160">
            <v>1</v>
          </cell>
          <cell r="G160">
            <v>450.59</v>
          </cell>
          <cell r="H160" t="str">
            <v>BDI 1</v>
          </cell>
          <cell r="I160">
            <v>556.91999999999996</v>
          </cell>
          <cell r="J160">
            <v>556.91999999999996</v>
          </cell>
          <cell r="K160">
            <v>0</v>
          </cell>
        </row>
        <row r="161">
          <cell r="A161" t="str">
            <v>6.4.2</v>
          </cell>
          <cell r="B161" t="str">
            <v>SINAPI</v>
          </cell>
          <cell r="C161">
            <v>102989</v>
          </cell>
          <cell r="D161" t="str">
            <v>CANALETA MEIA CANA PRÉ-MOLDADA DE CONCRETO (D = 20 CM) - FORNECIMENTO E INSTALAÇÃO. AF_08/2021</v>
          </cell>
          <cell r="E161" t="str">
            <v>M</v>
          </cell>
          <cell r="F161">
            <v>2</v>
          </cell>
          <cell r="G161">
            <v>40.770000000000003</v>
          </cell>
          <cell r="H161" t="str">
            <v>BDI 1</v>
          </cell>
          <cell r="I161">
            <v>50.39</v>
          </cell>
          <cell r="J161">
            <v>100.78</v>
          </cell>
          <cell r="K161">
            <v>0</v>
          </cell>
        </row>
        <row r="162">
          <cell r="A162" t="str">
            <v>6.4.3</v>
          </cell>
          <cell r="B162" t="str">
            <v>SINAPI</v>
          </cell>
          <cell r="C162">
            <v>103002</v>
          </cell>
          <cell r="D162" t="str">
            <v>GRELHA DE FERRO FUNDIDO SIMPLES COM REQUADRO, 200 X 1000 MM, ASSENTADA COM ARGAMASSA 1 : 3 CIMENTO: AREIA - FORNECIMENTO E INSTALAÇÃO. AF_08/2021</v>
          </cell>
          <cell r="E162" t="str">
            <v xml:space="preserve">UN </v>
          </cell>
          <cell r="F162">
            <v>2</v>
          </cell>
          <cell r="G162">
            <v>307.60000000000002</v>
          </cell>
          <cell r="H162" t="str">
            <v>BDI 1</v>
          </cell>
          <cell r="I162">
            <v>380.19</v>
          </cell>
          <cell r="J162">
            <v>760.38</v>
          </cell>
          <cell r="K162">
            <v>0</v>
          </cell>
        </row>
        <row r="163">
          <cell r="A163" t="str">
            <v>6.4.4</v>
          </cell>
          <cell r="B163" t="str">
            <v>SINAPI</v>
          </cell>
          <cell r="C163">
            <v>104166</v>
          </cell>
          <cell r="D163" t="str">
            <v>TUBO PVC, SÉRIE R, ÁGUA PLUVIAL, DN 150 MM, FORNECIDO E INSTALADO EM RAMAL DE ENCAMINHAMENTO. AF_06/2022</v>
          </cell>
          <cell r="E163" t="str">
            <v>M</v>
          </cell>
          <cell r="F163">
            <v>12</v>
          </cell>
          <cell r="G163">
            <v>81</v>
          </cell>
          <cell r="H163" t="str">
            <v>BDI 1</v>
          </cell>
          <cell r="I163">
            <v>100.11</v>
          </cell>
          <cell r="J163">
            <v>1201.32</v>
          </cell>
          <cell r="K163">
            <v>0</v>
          </cell>
        </row>
        <row r="164">
          <cell r="A164" t="str">
            <v>6.4.5</v>
          </cell>
          <cell r="B164" t="str">
            <v>SINAPI</v>
          </cell>
          <cell r="C164">
            <v>104168</v>
          </cell>
          <cell r="D164" t="str">
            <v>JOELHO 45 GRAUS, PVC, SERIE R, ÁGUA PLUVIAL, DN 150 MM, JUNTA ELÁSTICA, FORNECIDO E INSTALADO EM RAMAL DE ENCAMINHAMENTO. AF_06/2022</v>
          </cell>
          <cell r="E164" t="str">
            <v xml:space="preserve">UN </v>
          </cell>
          <cell r="F164">
            <v>5</v>
          </cell>
          <cell r="G164">
            <v>121.72</v>
          </cell>
          <cell r="H164" t="str">
            <v>BDI 1</v>
          </cell>
          <cell r="I164">
            <v>150.44</v>
          </cell>
          <cell r="J164">
            <v>752.2</v>
          </cell>
          <cell r="K164">
            <v>0</v>
          </cell>
        </row>
        <row r="165">
          <cell r="A165" t="str">
            <v>6.4.6</v>
          </cell>
          <cell r="B165" t="str">
            <v>CPOS</v>
          </cell>
          <cell r="C165" t="str">
            <v>46.05.090</v>
          </cell>
          <cell r="D165" t="str">
            <v>TUBO PVC RÍGIDO OCRE, TIPO COLETOR ESGOTO, JUNTA ELÁSTICA, DN= 400 MM, INCLUSIVE CONEXÕES</v>
          </cell>
          <cell r="E165" t="str">
            <v>M</v>
          </cell>
          <cell r="F165">
            <v>1</v>
          </cell>
          <cell r="G165">
            <v>504.49</v>
          </cell>
          <cell r="H165" t="str">
            <v>BDI 1</v>
          </cell>
          <cell r="I165">
            <v>623.54</v>
          </cell>
          <cell r="J165">
            <v>623.54</v>
          </cell>
          <cell r="K165">
            <v>0</v>
          </cell>
        </row>
        <row r="166">
          <cell r="A166" t="str">
            <v>6.5</v>
          </cell>
          <cell r="B166">
            <v>0</v>
          </cell>
          <cell r="C166">
            <v>0</v>
          </cell>
          <cell r="D166" t="str">
            <v>ÁGUA FRIA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6.5.1</v>
          </cell>
          <cell r="B167" t="str">
            <v>CPOS</v>
          </cell>
          <cell r="C167" t="str">
            <v>46.01.020</v>
          </cell>
          <cell r="D167" t="str">
            <v>TUBO DE PVC RÍGIDO SOLDÁVEL MARROM, DN= 25 MM, (3/4´), INCLUSIVE CONEXÕES</v>
          </cell>
          <cell r="E167" t="str">
            <v>M</v>
          </cell>
          <cell r="F167">
            <v>24.65</v>
          </cell>
          <cell r="G167">
            <v>31.38</v>
          </cell>
          <cell r="H167" t="str">
            <v>BDI 1</v>
          </cell>
          <cell r="I167">
            <v>38.78</v>
          </cell>
          <cell r="J167">
            <v>955.92</v>
          </cell>
          <cell r="K167">
            <v>0</v>
          </cell>
        </row>
        <row r="168">
          <cell r="A168" t="str">
            <v>6.5.2</v>
          </cell>
          <cell r="B168" t="str">
            <v>CPOS</v>
          </cell>
          <cell r="C168" t="str">
            <v>44.03.380</v>
          </cell>
          <cell r="D168" t="str">
            <v>TORNEIRA CURTA COM ROSCA PARA USO GERAL, EM LATÃO FUNDIDO SEM ACABAMENTO, DN= 3/4´´</v>
          </cell>
          <cell r="E168" t="str">
            <v xml:space="preserve">UN </v>
          </cell>
          <cell r="F168">
            <v>2</v>
          </cell>
          <cell r="G168">
            <v>50.39</v>
          </cell>
          <cell r="H168" t="str">
            <v>BDI 1</v>
          </cell>
          <cell r="I168">
            <v>62.28</v>
          </cell>
          <cell r="J168">
            <v>124.56</v>
          </cell>
          <cell r="K168">
            <v>0</v>
          </cell>
        </row>
        <row r="169">
          <cell r="A169" t="str">
            <v>7.</v>
          </cell>
          <cell r="B169">
            <v>0</v>
          </cell>
          <cell r="C169">
            <v>0</v>
          </cell>
          <cell r="D169" t="str">
            <v>PAVIMENTAÇÃO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27428.680000000004</v>
          </cell>
          <cell r="K169">
            <v>4.0223125761799684E-2</v>
          </cell>
        </row>
        <row r="170">
          <cell r="A170" t="str">
            <v>7.1</v>
          </cell>
          <cell r="B170">
            <v>0</v>
          </cell>
          <cell r="C170">
            <v>0</v>
          </cell>
          <cell r="D170" t="str">
            <v>RECAPEAMENTO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7.1.1</v>
          </cell>
          <cell r="B171" t="str">
            <v>CPOS</v>
          </cell>
          <cell r="C171" t="str">
            <v>54.03.230</v>
          </cell>
          <cell r="D171" t="str">
            <v>IMPRIMAÇÃO BETUMINOSA LIGANTE - RR-1-C</v>
          </cell>
          <cell r="E171" t="str">
            <v>M2</v>
          </cell>
          <cell r="F171">
            <v>54.3</v>
          </cell>
          <cell r="G171">
            <v>7.11</v>
          </cell>
          <cell r="H171" t="str">
            <v>BDI 1</v>
          </cell>
          <cell r="I171">
            <v>8.7799999999999994</v>
          </cell>
          <cell r="J171">
            <v>476.75</v>
          </cell>
          <cell r="K171">
            <v>0</v>
          </cell>
        </row>
        <row r="172">
          <cell r="A172" t="str">
            <v>7.1.2</v>
          </cell>
          <cell r="B172" t="str">
            <v>SINAPI</v>
          </cell>
          <cell r="C172">
            <v>102098</v>
          </cell>
          <cell r="D172" t="str">
            <v>RECOMPOSIÇÃO DE REVESTIMENTO EM CONCRETO ASFÁLTICO (AQUISIÇÃO EM USINA), PARA O FECHAMENTO DE VALAS. AF_12/2020</v>
          </cell>
          <cell r="E172" t="str">
            <v>M3</v>
          </cell>
          <cell r="F172">
            <v>2.72</v>
          </cell>
          <cell r="G172">
            <v>1972.97</v>
          </cell>
          <cell r="H172" t="str">
            <v>BDI 1</v>
          </cell>
          <cell r="I172">
            <v>2438.59</v>
          </cell>
          <cell r="J172">
            <v>6632.96</v>
          </cell>
          <cell r="K172">
            <v>0</v>
          </cell>
        </row>
        <row r="173">
          <cell r="A173" t="str">
            <v>7.1.3</v>
          </cell>
          <cell r="B173" t="str">
            <v>SINAPI</v>
          </cell>
          <cell r="C173">
            <v>100966</v>
          </cell>
          <cell r="D173" t="str">
            <v>TRANSPORTE COM CAMINHÃO TANQUE DE TRANSPORTE DE MATERIAL ASFÁLTICO DE 30000 L, EM VIA URBANA EM REVESTIMENTO PRIMÁRIO (UNIDADE: TXKM). AF_07/2020</v>
          </cell>
          <cell r="E173" t="str">
            <v>TXKM</v>
          </cell>
          <cell r="F173">
            <v>1954.8</v>
          </cell>
          <cell r="G173">
            <v>1.57</v>
          </cell>
          <cell r="H173" t="str">
            <v>BDI 1</v>
          </cell>
          <cell r="I173">
            <v>1.94</v>
          </cell>
          <cell r="J173">
            <v>3792.31</v>
          </cell>
          <cell r="K173">
            <v>0</v>
          </cell>
        </row>
        <row r="174">
          <cell r="A174" t="str">
            <v>7.1.4</v>
          </cell>
          <cell r="B174" t="str">
            <v>SINAPI</v>
          </cell>
          <cell r="C174">
            <v>100979</v>
          </cell>
          <cell r="D174" t="str">
            <v>CARGA, MANOBRA E DESCARGA DE SOLOS E MATERIAIS GRANULARES EM CAMINHÃO BASCULANTE 14 M³ - CARGA COM ESCAVADEIRA HIDRÁULICA (CAÇAMBA DE 1,20 M³ / 155 HP) E DESCARGA LIVRE (UNIDADE: M3). AF_07/2020</v>
          </cell>
          <cell r="E174" t="str">
            <v>M3</v>
          </cell>
          <cell r="F174">
            <v>146.61000000000001</v>
          </cell>
          <cell r="G174">
            <v>6.86</v>
          </cell>
          <cell r="H174" t="str">
            <v>BDI 1</v>
          </cell>
          <cell r="I174">
            <v>8.4700000000000006</v>
          </cell>
          <cell r="J174">
            <v>1241.78</v>
          </cell>
          <cell r="K174">
            <v>0</v>
          </cell>
        </row>
        <row r="175">
          <cell r="A175" t="str">
            <v>7.1.5</v>
          </cell>
          <cell r="B175" t="str">
            <v>SINAPI</v>
          </cell>
          <cell r="C175">
            <v>93592</v>
          </cell>
          <cell r="D175" t="str">
            <v>TRANSPORTE COM CAMINHÃO BASCULANTE DE 14 M³, EM VIA URBANA EM REVESTIMENTO PRIMÁRIO (UNIDADE: M3XKM). AF_07/2020</v>
          </cell>
          <cell r="E175" t="str">
            <v>M3XKM</v>
          </cell>
          <cell r="F175">
            <v>146.61000000000001</v>
          </cell>
          <cell r="G175">
            <v>2.4300000000000002</v>
          </cell>
          <cell r="H175" t="str">
            <v>BDI 1</v>
          </cell>
          <cell r="I175">
            <v>3</v>
          </cell>
          <cell r="J175">
            <v>439.83</v>
          </cell>
          <cell r="K175">
            <v>0</v>
          </cell>
        </row>
        <row r="176">
          <cell r="A176" t="str">
            <v>7.2</v>
          </cell>
          <cell r="B176">
            <v>0</v>
          </cell>
          <cell r="C176">
            <v>0</v>
          </cell>
          <cell r="D176" t="str">
            <v>PAVIMENTAÇÃO INTERNA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7.2.1</v>
          </cell>
          <cell r="B177" t="str">
            <v>CPOS</v>
          </cell>
          <cell r="C177" t="str">
            <v>54.01.010</v>
          </cell>
          <cell r="D177" t="str">
            <v>REGULARIZAÇÃO E COMPACTAÇÃO MECANIZADA DE SUPERFÍCIE, SEM CONTROLE DO PROCTOR NORMAL</v>
          </cell>
          <cell r="E177" t="str">
            <v>M2</v>
          </cell>
          <cell r="F177">
            <v>118.02</v>
          </cell>
          <cell r="G177">
            <v>3.8</v>
          </cell>
          <cell r="H177" t="str">
            <v>BDI 1</v>
          </cell>
          <cell r="I177">
            <v>4.6900000000000004</v>
          </cell>
          <cell r="J177">
            <v>553.51</v>
          </cell>
          <cell r="K177">
            <v>0</v>
          </cell>
        </row>
        <row r="178">
          <cell r="A178" t="str">
            <v>7.2.2</v>
          </cell>
          <cell r="B178" t="str">
            <v>SINAPI</v>
          </cell>
          <cell r="C178">
            <v>92403</v>
          </cell>
          <cell r="D178" t="str">
            <v>EXECUÇÃO DE PAVIMENTO EM PISO INTERTRAVADO, COM BLOCO 16 FACES DE 22 X 11 CM, ESPESSURA 6 CM. AF_10/2022</v>
          </cell>
          <cell r="E178" t="str">
            <v>M2</v>
          </cell>
          <cell r="F178">
            <v>117.48</v>
          </cell>
          <cell r="G178">
            <v>74.97</v>
          </cell>
          <cell r="H178" t="str">
            <v>BDI 1</v>
          </cell>
          <cell r="I178">
            <v>92.66</v>
          </cell>
          <cell r="J178">
            <v>10885.69</v>
          </cell>
          <cell r="K178">
            <v>0</v>
          </cell>
        </row>
        <row r="179">
          <cell r="A179" t="str">
            <v>7.2.3</v>
          </cell>
          <cell r="B179" t="str">
            <v>SINAPI</v>
          </cell>
          <cell r="C179">
            <v>95877</v>
          </cell>
          <cell r="D179" t="str">
            <v>TRANSPORTE COM CAMINHÃO BASCULANTE DE 18 M³, EM VIA URBANA PAVIMENTADA, DMT ATÉ 30 KM (UNIDADE: M3XKM). AF_07/2020</v>
          </cell>
          <cell r="E179" t="str">
            <v>M3XKM</v>
          </cell>
          <cell r="F179">
            <v>352.45</v>
          </cell>
          <cell r="G179">
            <v>1.89</v>
          </cell>
          <cell r="H179" t="str">
            <v>BDI 1</v>
          </cell>
          <cell r="I179">
            <v>2.33</v>
          </cell>
          <cell r="J179">
            <v>821.2</v>
          </cell>
          <cell r="K179">
            <v>0</v>
          </cell>
        </row>
        <row r="180">
          <cell r="A180" t="str">
            <v>7.2.4</v>
          </cell>
          <cell r="B180" t="str">
            <v>SINAPI</v>
          </cell>
          <cell r="C180">
            <v>101165</v>
          </cell>
          <cell r="D180" t="str">
            <v>ALVENARIA DE EMBASAMENTO COM BLOCO ESTRUTURAL DE CONCRETO, DE 14X19X29CM E ARGAMASSA DE ASSENTAMENTO COM PREPARO EM BETONEIRA. AF_05/2020 (MURETA H=20CM)</v>
          </cell>
          <cell r="E180" t="str">
            <v>M3</v>
          </cell>
          <cell r="F180">
            <v>1.19</v>
          </cell>
          <cell r="G180">
            <v>992.74</v>
          </cell>
          <cell r="H180" t="str">
            <v>BDI 1</v>
          </cell>
          <cell r="I180">
            <v>1227.02</v>
          </cell>
          <cell r="J180">
            <v>1460.15</v>
          </cell>
          <cell r="K180">
            <v>0</v>
          </cell>
        </row>
        <row r="181">
          <cell r="A181" t="str">
            <v>7.2.5</v>
          </cell>
          <cell r="B181" t="str">
            <v>CPOS</v>
          </cell>
          <cell r="C181" t="str">
            <v>17.02.220</v>
          </cell>
          <cell r="D181" t="str">
            <v>REBOCO - (MURETA H=20CM)</v>
          </cell>
          <cell r="E181" t="str">
            <v>M2</v>
          </cell>
          <cell r="F181">
            <v>12.94</v>
          </cell>
          <cell r="G181">
            <v>13.21</v>
          </cell>
          <cell r="H181" t="str">
            <v>BDI 1</v>
          </cell>
          <cell r="I181">
            <v>16.32</v>
          </cell>
          <cell r="J181">
            <v>211.18</v>
          </cell>
          <cell r="K181">
            <v>0</v>
          </cell>
        </row>
        <row r="182">
          <cell r="A182" t="str">
            <v>7.2.6</v>
          </cell>
          <cell r="B182" t="str">
            <v>SINAPI</v>
          </cell>
          <cell r="C182">
            <v>102719</v>
          </cell>
          <cell r="D182" t="str">
            <v>ENCHIMENTO DE BRITA, LANÇAMENTO MANUAL. AF_07/2021</v>
          </cell>
          <cell r="E182" t="str">
            <v>M3</v>
          </cell>
          <cell r="F182">
            <v>6.2</v>
          </cell>
          <cell r="G182">
            <v>119.19</v>
          </cell>
          <cell r="H182" t="str">
            <v>BDI 1</v>
          </cell>
          <cell r="I182">
            <v>147.31</v>
          </cell>
          <cell r="J182">
            <v>913.32</v>
          </cell>
          <cell r="K182">
            <v>0</v>
          </cell>
        </row>
        <row r="183">
          <cell r="A183" t="str">
            <v>8.</v>
          </cell>
          <cell r="B183">
            <v>0</v>
          </cell>
          <cell r="C183">
            <v>0</v>
          </cell>
          <cell r="D183" t="str">
            <v>PINTURA CABINE DE OPERAÇÕES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13163.05</v>
          </cell>
          <cell r="K183">
            <v>1.9303116867412401E-2</v>
          </cell>
        </row>
        <row r="184">
          <cell r="A184" t="str">
            <v>8.1</v>
          </cell>
          <cell r="B184">
            <v>0</v>
          </cell>
          <cell r="C184">
            <v>0</v>
          </cell>
          <cell r="D184" t="str">
            <v>PAREDES EXTERNAS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8.1.1</v>
          </cell>
          <cell r="B185" t="str">
            <v>SINAPI</v>
          </cell>
          <cell r="C185">
            <v>88485</v>
          </cell>
          <cell r="D185" t="str">
            <v>APLICAÇÃO DE FUNDO SELADOR ACRÍLICO EM PAREDES, UMA DEMÃO. AF_06/2014</v>
          </cell>
          <cell r="E185" t="str">
            <v>M2</v>
          </cell>
          <cell r="F185">
            <v>121.74</v>
          </cell>
          <cell r="G185">
            <v>4.91</v>
          </cell>
          <cell r="H185" t="str">
            <v>BDI 1</v>
          </cell>
          <cell r="I185">
            <v>6.06</v>
          </cell>
          <cell r="J185">
            <v>737.74</v>
          </cell>
          <cell r="K185">
            <v>0</v>
          </cell>
        </row>
        <row r="186">
          <cell r="A186" t="str">
            <v>8.1.2</v>
          </cell>
          <cell r="B186" t="str">
            <v>SINAPI</v>
          </cell>
          <cell r="C186">
            <v>95305</v>
          </cell>
          <cell r="D186" t="str">
            <v>TEXTURA ACRÍLICA, APLICAÇÃO MANUAL EM PAREDE, UMA DEMÃO. AF_09/2016 (h~3,50m)</v>
          </cell>
          <cell r="E186" t="str">
            <v>M2</v>
          </cell>
          <cell r="F186">
            <v>121.74</v>
          </cell>
          <cell r="G186">
            <v>14.93</v>
          </cell>
          <cell r="H186" t="str">
            <v>BDI 1</v>
          </cell>
          <cell r="I186">
            <v>18.45</v>
          </cell>
          <cell r="J186">
            <v>2246.1</v>
          </cell>
          <cell r="K186">
            <v>0</v>
          </cell>
        </row>
        <row r="187">
          <cell r="A187" t="str">
            <v>8.2</v>
          </cell>
          <cell r="B187">
            <v>0</v>
          </cell>
          <cell r="C187">
            <v>0</v>
          </cell>
          <cell r="D187" t="str">
            <v>PLATIBANDA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8.2.1</v>
          </cell>
          <cell r="B188" t="str">
            <v>SINAPI</v>
          </cell>
          <cell r="C188">
            <v>88485</v>
          </cell>
          <cell r="D188" t="str">
            <v>APLICAÇÃO DE FUNDO SELADOR ACRÍLICO EM PAREDES, UMA DEMÃO. AF_06/2014</v>
          </cell>
          <cell r="E188" t="str">
            <v>M2</v>
          </cell>
          <cell r="F188">
            <v>44.15</v>
          </cell>
          <cell r="G188">
            <v>4.91</v>
          </cell>
          <cell r="H188" t="str">
            <v>BDI 1</v>
          </cell>
          <cell r="I188">
            <v>6.06</v>
          </cell>
          <cell r="J188">
            <v>267.54000000000002</v>
          </cell>
          <cell r="K188">
            <v>0</v>
          </cell>
        </row>
        <row r="189">
          <cell r="A189" t="str">
            <v>8.2.2</v>
          </cell>
          <cell r="B189" t="str">
            <v>SINAPI</v>
          </cell>
          <cell r="C189">
            <v>88489</v>
          </cell>
          <cell r="D189" t="str">
            <v>APLICAÇÃO MANUAL DE PINTURA COM TINTA LÁTEX ACRÍLICA EM PAREDES, DUAS DEMÃOS. AF_06/2014</v>
          </cell>
          <cell r="E189" t="str">
            <v>M2</v>
          </cell>
          <cell r="F189">
            <v>44.15</v>
          </cell>
          <cell r="G189">
            <v>14.26</v>
          </cell>
          <cell r="H189" t="str">
            <v>BDI 1</v>
          </cell>
          <cell r="I189">
            <v>17.62</v>
          </cell>
          <cell r="J189">
            <v>777.92</v>
          </cell>
          <cell r="K189">
            <v>0</v>
          </cell>
        </row>
        <row r="190">
          <cell r="A190" t="str">
            <v>8.3</v>
          </cell>
          <cell r="B190">
            <v>0</v>
          </cell>
          <cell r="C190">
            <v>0</v>
          </cell>
          <cell r="D190" t="str">
            <v>PAREDES INTERNAS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8.3.1</v>
          </cell>
          <cell r="B191" t="str">
            <v>SINAPI</v>
          </cell>
          <cell r="C191">
            <v>88485</v>
          </cell>
          <cell r="D191" t="str">
            <v>APLICAÇÃO DE FUNDO SELADOR ACRÍLICO EM PAREDES, UMA DEMÃO. AF_06/2014</v>
          </cell>
          <cell r="E191" t="str">
            <v>M2</v>
          </cell>
          <cell r="F191">
            <v>184.74</v>
          </cell>
          <cell r="G191">
            <v>4.91</v>
          </cell>
          <cell r="H191" t="str">
            <v>BDI 1</v>
          </cell>
          <cell r="I191">
            <v>6.06</v>
          </cell>
          <cell r="J191">
            <v>1119.52</v>
          </cell>
          <cell r="K191">
            <v>0</v>
          </cell>
        </row>
        <row r="192">
          <cell r="A192" t="str">
            <v>8.3.2</v>
          </cell>
          <cell r="B192" t="str">
            <v>SINAPI</v>
          </cell>
          <cell r="C192">
            <v>88489</v>
          </cell>
          <cell r="D192" t="str">
            <v>APLICAÇÃO MANUAL DE PINTURA COM TINTA LÁTEX ACRÍLICA EM PAREDES, DUAS DEMÃOS. AF_06/2014</v>
          </cell>
          <cell r="E192" t="str">
            <v>M2</v>
          </cell>
          <cell r="F192">
            <v>184.74</v>
          </cell>
          <cell r="G192">
            <v>14.26</v>
          </cell>
          <cell r="H192" t="str">
            <v>BDI 1</v>
          </cell>
          <cell r="I192">
            <v>17.62</v>
          </cell>
          <cell r="J192">
            <v>3255.11</v>
          </cell>
          <cell r="K192">
            <v>0</v>
          </cell>
        </row>
        <row r="193">
          <cell r="A193" t="str">
            <v>8.4</v>
          </cell>
          <cell r="B193">
            <v>0</v>
          </cell>
          <cell r="C193">
            <v>0</v>
          </cell>
          <cell r="D193" t="str">
            <v>PISO INTERNO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8.4.1</v>
          </cell>
          <cell r="B194" t="str">
            <v>SINAPI</v>
          </cell>
          <cell r="C194">
            <v>102491</v>
          </cell>
          <cell r="D194" t="str">
            <v>PINTURA DE PISO COM TINTA ACRÍLICA, APLICAÇÃO MANUAL, 2 DEMÃOS, INCLUSO FUNDO PREPARADOR. AF_05/2021</v>
          </cell>
          <cell r="E194" t="str">
            <v>M2</v>
          </cell>
          <cell r="F194">
            <v>70.7</v>
          </cell>
          <cell r="G194">
            <v>23.66</v>
          </cell>
          <cell r="H194" t="str">
            <v>BDI 1</v>
          </cell>
          <cell r="I194">
            <v>29.24</v>
          </cell>
          <cell r="J194">
            <v>2067.2600000000002</v>
          </cell>
          <cell r="K194">
            <v>0</v>
          </cell>
        </row>
        <row r="195">
          <cell r="A195" t="str">
            <v>8.5</v>
          </cell>
          <cell r="B195">
            <v>0</v>
          </cell>
          <cell r="C195">
            <v>0</v>
          </cell>
          <cell r="D195" t="str">
            <v>ESQUADRIAS METÁLICAS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 t="str">
            <v>8.5.1</v>
          </cell>
          <cell r="B196" t="str">
            <v>SINAPI</v>
          </cell>
          <cell r="C196">
            <v>100717</v>
          </cell>
          <cell r="D196" t="str">
            <v>LIXAMENTO MANUAL EM SUPERFÍCIES METÁLICAS EM OBRA. AF_01/2020</v>
          </cell>
          <cell r="E196" t="str">
            <v>M2</v>
          </cell>
          <cell r="F196">
            <v>36.74</v>
          </cell>
          <cell r="G196">
            <v>11.97</v>
          </cell>
          <cell r="H196" t="str">
            <v>BDI 1</v>
          </cell>
          <cell r="I196">
            <v>14.79</v>
          </cell>
          <cell r="J196">
            <v>543.38</v>
          </cell>
          <cell r="K196">
            <v>0</v>
          </cell>
        </row>
        <row r="197">
          <cell r="A197" t="str">
            <v>8.5.2</v>
          </cell>
          <cell r="B197" t="str">
            <v>SINAPI</v>
          </cell>
          <cell r="C197">
            <v>100741</v>
          </cell>
          <cell r="D197" t="str">
            <v>PINTURA COM TINTA ALQUÍDICA DE ACABAMENTO (ESMALTE SINTÉTICO ACETINADO) PULVERIZADA SOBRE SUPERFÍCIES METÁLICAS (EXCETO PERFIL) EXECUTADO EM OBRA (POR DEMÃO). AF_01/2020_PE</v>
          </cell>
          <cell r="E197" t="str">
            <v>M2</v>
          </cell>
          <cell r="F197">
            <v>36.74</v>
          </cell>
          <cell r="G197">
            <v>28.98</v>
          </cell>
          <cell r="H197" t="str">
            <v>BDI 1</v>
          </cell>
          <cell r="I197">
            <v>35.81</v>
          </cell>
          <cell r="J197">
            <v>1315.65</v>
          </cell>
          <cell r="K197">
            <v>0</v>
          </cell>
        </row>
        <row r="198">
          <cell r="A198" t="str">
            <v>8.6</v>
          </cell>
          <cell r="B198">
            <v>0</v>
          </cell>
          <cell r="C198">
            <v>0</v>
          </cell>
          <cell r="D198" t="str">
            <v>SIMBOLOS E TEXTOS PLATIBANDA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8.6.1</v>
          </cell>
          <cell r="B199" t="str">
            <v>SINAPI</v>
          </cell>
          <cell r="C199">
            <v>102513</v>
          </cell>
          <cell r="D199" t="str">
            <v>PINTURA DE SÍMBOLOS E TEXTOS COM TINTA ACRÍLICA, DEMARCAÇÃO COM FITA ADESIVA E APLICAÇÃO COM ROLO. AF_05/2021 - CONFORME EXISTENTE NO LOCAL</v>
          </cell>
          <cell r="E199" t="str">
            <v>M2</v>
          </cell>
          <cell r="F199">
            <v>11.82</v>
          </cell>
          <cell r="G199">
            <v>57.01</v>
          </cell>
          <cell r="H199" t="str">
            <v>BDI 1</v>
          </cell>
          <cell r="I199">
            <v>70.459999999999994</v>
          </cell>
          <cell r="J199">
            <v>832.83</v>
          </cell>
          <cell r="K199">
            <v>0</v>
          </cell>
        </row>
        <row r="200">
          <cell r="A200" t="str">
            <v>9.</v>
          </cell>
          <cell r="B200">
            <v>0</v>
          </cell>
          <cell r="C200">
            <v>0</v>
          </cell>
          <cell r="D200" t="str">
            <v>SERVIÇOS COMPLEMENTARES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18553.060000000001</v>
          </cell>
          <cell r="K200">
            <v>2.7207363447537949E-2</v>
          </cell>
        </row>
        <row r="201">
          <cell r="A201" t="str">
            <v>9.1</v>
          </cell>
          <cell r="B201" t="str">
            <v>SINAPI</v>
          </cell>
          <cell r="C201">
            <v>34347</v>
          </cell>
          <cell r="D201" t="str">
            <v>CONCERTINA SIMPLES EM ACO GALVANIZADO DE ALTA RESISTENCIA, COM ESPIRAL DE 300 MM, D = 2,76 MM</v>
          </cell>
          <cell r="E201" t="str">
            <v>M</v>
          </cell>
          <cell r="F201">
            <v>27.05</v>
          </cell>
          <cell r="G201">
            <v>17.36</v>
          </cell>
          <cell r="H201" t="str">
            <v>BDI 1</v>
          </cell>
          <cell r="I201">
            <v>21.45</v>
          </cell>
          <cell r="J201">
            <v>580.22</v>
          </cell>
          <cell r="K201">
            <v>0</v>
          </cell>
        </row>
        <row r="202">
          <cell r="A202" t="str">
            <v>9.2</v>
          </cell>
          <cell r="B202" t="str">
            <v>COTADO</v>
          </cell>
          <cell r="C202" t="str">
            <v>C004</v>
          </cell>
          <cell r="D202" t="str">
            <v>STOP-LOG COM GUIAS EMBUTIDAS, ACIONAMENTO MANUAL COM VOLANTE, ∅IAS H~1500 x ∅OP H=600</v>
          </cell>
          <cell r="E202" t="str">
            <v>CJ</v>
          </cell>
          <cell r="F202">
            <v>1</v>
          </cell>
          <cell r="G202">
            <v>6321.07</v>
          </cell>
          <cell r="H202" t="str">
            <v>BDI 1</v>
          </cell>
          <cell r="I202">
            <v>7812.84</v>
          </cell>
          <cell r="J202">
            <v>7812.84</v>
          </cell>
          <cell r="K202">
            <v>0</v>
          </cell>
        </row>
        <row r="203">
          <cell r="A203" t="str">
            <v>9.3</v>
          </cell>
          <cell r="B203" t="str">
            <v>SABESP</v>
          </cell>
          <cell r="C203">
            <v>70140133</v>
          </cell>
          <cell r="D203" t="str">
            <v>STOP-LOG - MONTAGEM</v>
          </cell>
          <cell r="E203" t="str">
            <v>M2</v>
          </cell>
          <cell r="F203">
            <v>0.38</v>
          </cell>
          <cell r="G203">
            <v>396.25</v>
          </cell>
          <cell r="H203" t="str">
            <v>BDI 2</v>
          </cell>
          <cell r="I203">
            <v>507.2</v>
          </cell>
          <cell r="J203">
            <v>192.73</v>
          </cell>
          <cell r="K203">
            <v>0</v>
          </cell>
        </row>
        <row r="204">
          <cell r="A204" t="str">
            <v>9.4</v>
          </cell>
          <cell r="B204" t="str">
            <v>SABESP</v>
          </cell>
          <cell r="C204">
            <v>70110090</v>
          </cell>
          <cell r="D204" t="str">
            <v>ALÇAPÃO EM GRADE DE AÇO AISI 317L (OU EQUIVALENTE) COM BARRAS DE 2" X 3/8", ESPAÇAMENTO ATÉ 5,0 CM, INCLUINDO QUADRO DE APOIO (POÇO DE SUCÇÃO, CONFORME PADRÃO EXISTENTE)</v>
          </cell>
          <cell r="E204" t="str">
            <v>M2</v>
          </cell>
          <cell r="F204">
            <v>3.54</v>
          </cell>
          <cell r="G204">
            <v>1514.96875</v>
          </cell>
          <cell r="H204" t="str">
            <v>BDI 2</v>
          </cell>
          <cell r="I204">
            <v>1939.16</v>
          </cell>
          <cell r="J204">
            <v>6864.62</v>
          </cell>
          <cell r="K204">
            <v>0</v>
          </cell>
        </row>
        <row r="205">
          <cell r="A205" t="str">
            <v>9.5</v>
          </cell>
          <cell r="B205" t="str">
            <v>SABESP</v>
          </cell>
          <cell r="C205">
            <v>70110090</v>
          </cell>
          <cell r="D205" t="str">
            <v>ALÇAPÃO EM GRADE DE AÇO AISI 317L (OU EQUIVALENTE) COM BARRAS DE 2" X 3/8", ESPAÇAMENTO ATÉ 5,0 CM, INCLUINDO QUADRO DE APOIO (CAIXA DE CHEGADA DO EFLUENTE, CONFORME PADRÃO EXISTENTE)</v>
          </cell>
          <cell r="E205" t="str">
            <v>M2</v>
          </cell>
          <cell r="F205">
            <v>1.6</v>
          </cell>
          <cell r="G205">
            <v>1514.96875</v>
          </cell>
          <cell r="H205" t="str">
            <v>BDI 2</v>
          </cell>
          <cell r="I205">
            <v>1939.16</v>
          </cell>
          <cell r="J205">
            <v>3102.65</v>
          </cell>
          <cell r="K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Obs.: Todos os valores foram truncados a partir da segunda casa decimal.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.orcafascio.com/banco/cpos/composicoes/64230911e64d1e4e072386ee" TargetMode="External"/><Relationship Id="rId1" Type="http://schemas.openxmlformats.org/officeDocument/2006/relationships/hyperlink" Target="https://app.orcafascio.com/banco/sinapi/composicoes/637e3d7ee64d1e5aaa35b33f?estado_sinapi=S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tabSelected="1" showOutlineSymbols="0" view="pageBreakPreview" zoomScaleNormal="100" zoomScaleSheetLayoutView="100" workbookViewId="0">
      <selection activeCell="D2" sqref="D2"/>
    </sheetView>
  </sheetViews>
  <sheetFormatPr defaultRowHeight="14.25" x14ac:dyDescent="0.2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8" width="13" bestFit="1" customWidth="1"/>
    <col min="9" max="9" width="15.625" customWidth="1"/>
    <col min="10" max="10" width="13" bestFit="1" customWidth="1"/>
    <col min="12" max="12" width="9" style="78"/>
  </cols>
  <sheetData>
    <row r="1" spans="1:10" ht="15" x14ac:dyDescent="0.2">
      <c r="A1" s="1"/>
      <c r="B1" s="1"/>
      <c r="C1" s="1"/>
      <c r="D1" s="1" t="s">
        <v>0</v>
      </c>
      <c r="E1" s="126" t="s">
        <v>1</v>
      </c>
      <c r="F1" s="126"/>
      <c r="G1" s="126"/>
      <c r="H1" s="7" t="s">
        <v>2</v>
      </c>
      <c r="I1" s="124" t="s">
        <v>3</v>
      </c>
      <c r="J1" s="124"/>
    </row>
    <row r="2" spans="1:10" ht="88.5" customHeight="1" x14ac:dyDescent="0.2">
      <c r="A2" s="2"/>
      <c r="B2" s="2"/>
      <c r="C2" s="201" t="s">
        <v>233</v>
      </c>
      <c r="D2" s="8" t="s">
        <v>127</v>
      </c>
      <c r="E2" s="127" t="s">
        <v>224</v>
      </c>
      <c r="F2" s="127"/>
      <c r="G2" s="127"/>
      <c r="H2" s="121">
        <v>0.25</v>
      </c>
      <c r="I2" s="125" t="s">
        <v>4</v>
      </c>
      <c r="J2" s="125"/>
    </row>
    <row r="3" spans="1:10" ht="20.25" x14ac:dyDescent="0.3">
      <c r="A3" s="130" t="s">
        <v>231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30" customHeight="1" x14ac:dyDescent="0.2">
      <c r="A4" s="107" t="s">
        <v>5</v>
      </c>
      <c r="B4" s="108" t="s">
        <v>6</v>
      </c>
      <c r="C4" s="107" t="s">
        <v>7</v>
      </c>
      <c r="D4" s="107" t="s">
        <v>8</v>
      </c>
      <c r="E4" s="106" t="s">
        <v>9</v>
      </c>
      <c r="F4" s="108" t="s">
        <v>10</v>
      </c>
      <c r="G4" s="108" t="s">
        <v>11</v>
      </c>
      <c r="H4" s="108" t="s">
        <v>12</v>
      </c>
      <c r="I4" s="108" t="s">
        <v>13</v>
      </c>
      <c r="J4" s="108" t="s">
        <v>14</v>
      </c>
    </row>
    <row r="5" spans="1:10" ht="30" customHeight="1" x14ac:dyDescent="0.2">
      <c r="A5" s="88">
        <v>1</v>
      </c>
      <c r="B5" s="89"/>
      <c r="C5" s="89"/>
      <c r="D5" s="89" t="s">
        <v>15</v>
      </c>
      <c r="E5" s="89"/>
      <c r="F5" s="90"/>
      <c r="G5" s="89"/>
      <c r="H5" s="89"/>
      <c r="I5" s="91">
        <f>SUM(I6:I7)</f>
        <v>0</v>
      </c>
      <c r="J5" s="92" t="e">
        <f t="shared" ref="J5:J31" si="0">I5/$I$81</f>
        <v>#DIV/0!</v>
      </c>
    </row>
    <row r="6" spans="1:10" ht="38.25" x14ac:dyDescent="0.2">
      <c r="A6" s="97" t="s">
        <v>213</v>
      </c>
      <c r="B6" s="93">
        <v>10775</v>
      </c>
      <c r="C6" s="94" t="s">
        <v>16</v>
      </c>
      <c r="D6" s="94" t="s">
        <v>17</v>
      </c>
      <c r="E6" s="95" t="s">
        <v>18</v>
      </c>
      <c r="F6" s="76">
        <v>5</v>
      </c>
      <c r="G6" s="17"/>
      <c r="H6" s="9">
        <f>ROUND(G6+(G6*$H$2),2)</f>
        <v>0</v>
      </c>
      <c r="I6" s="9">
        <f>ROUND(H6*F6,2)</f>
        <v>0</v>
      </c>
      <c r="J6" s="96" t="e">
        <f t="shared" si="0"/>
        <v>#DIV/0!</v>
      </c>
    </row>
    <row r="7" spans="1:10" x14ac:dyDescent="0.2">
      <c r="A7" s="97" t="s">
        <v>214</v>
      </c>
      <c r="B7" s="93" t="s">
        <v>128</v>
      </c>
      <c r="C7" s="11" t="s">
        <v>38</v>
      </c>
      <c r="D7" s="11" t="str">
        <f>UPPER("Placa de identificação para obra")</f>
        <v>PLACA DE IDENTIFICAÇÃO PARA OBRA</v>
      </c>
      <c r="E7" s="87" t="s">
        <v>19</v>
      </c>
      <c r="F7" s="76">
        <v>17.100000000000001</v>
      </c>
      <c r="G7" s="17"/>
      <c r="H7" s="9">
        <f>ROUND(G7+(G7*$H$2),2)</f>
        <v>0</v>
      </c>
      <c r="I7" s="9">
        <f>ROUND(H7*F7,2)</f>
        <v>0</v>
      </c>
      <c r="J7" s="96" t="e">
        <f t="shared" si="0"/>
        <v>#DIV/0!</v>
      </c>
    </row>
    <row r="8" spans="1:10" ht="30" customHeight="1" x14ac:dyDescent="0.2">
      <c r="A8" s="98">
        <v>2</v>
      </c>
      <c r="B8" s="99"/>
      <c r="C8" s="99"/>
      <c r="D8" s="99" t="s">
        <v>20</v>
      </c>
      <c r="E8" s="99"/>
      <c r="F8" s="77"/>
      <c r="G8" s="14"/>
      <c r="H8" s="100"/>
      <c r="I8" s="101">
        <f>SUM(I9:I13)</f>
        <v>0</v>
      </c>
      <c r="J8" s="102" t="e">
        <f t="shared" si="0"/>
        <v>#DIV/0!</v>
      </c>
    </row>
    <row r="9" spans="1:10" ht="38.25" x14ac:dyDescent="0.2">
      <c r="A9" s="97" t="s">
        <v>215</v>
      </c>
      <c r="B9" s="86" t="s">
        <v>21</v>
      </c>
      <c r="C9" s="11" t="s">
        <v>16</v>
      </c>
      <c r="D9" s="11" t="s">
        <v>22</v>
      </c>
      <c r="E9" s="87" t="s">
        <v>19</v>
      </c>
      <c r="F9" s="76">
        <v>3495.18</v>
      </c>
      <c r="G9" s="17"/>
      <c r="H9" s="9">
        <f>ROUND(G9+(G9*$H$2),2)</f>
        <v>0</v>
      </c>
      <c r="I9" s="9">
        <f>ROUND(H9*F9,2)</f>
        <v>0</v>
      </c>
      <c r="J9" s="96" t="e">
        <f t="shared" si="0"/>
        <v>#DIV/0!</v>
      </c>
    </row>
    <row r="10" spans="1:10" ht="25.5" x14ac:dyDescent="0.2">
      <c r="A10" s="97" t="s">
        <v>216</v>
      </c>
      <c r="B10" s="86" t="s">
        <v>23</v>
      </c>
      <c r="C10" s="11" t="s">
        <v>16</v>
      </c>
      <c r="D10" s="11" t="s">
        <v>69</v>
      </c>
      <c r="E10" s="87" t="s">
        <v>24</v>
      </c>
      <c r="F10" s="76">
        <v>699</v>
      </c>
      <c r="G10" s="17"/>
      <c r="H10" s="9">
        <f>ROUND(G10+(G10*$H$2),2)</f>
        <v>0</v>
      </c>
      <c r="I10" s="9">
        <f t="shared" ref="I10:I62" si="1">ROUND(H10*F10,2)</f>
        <v>0</v>
      </c>
      <c r="J10" s="96" t="e">
        <f t="shared" si="0"/>
        <v>#DIV/0!</v>
      </c>
    </row>
    <row r="11" spans="1:10" ht="25.5" x14ac:dyDescent="0.2">
      <c r="A11" s="97" t="s">
        <v>217</v>
      </c>
      <c r="B11" s="86" t="s">
        <v>25</v>
      </c>
      <c r="C11" s="11" t="s">
        <v>16</v>
      </c>
      <c r="D11" s="11" t="s">
        <v>68</v>
      </c>
      <c r="E11" s="87" t="s">
        <v>26</v>
      </c>
      <c r="F11" s="76">
        <v>6990</v>
      </c>
      <c r="G11" s="17"/>
      <c r="H11" s="9">
        <f>ROUND(G11+(G11*$H$2),2)</f>
        <v>0</v>
      </c>
      <c r="I11" s="9">
        <f t="shared" si="1"/>
        <v>0</v>
      </c>
      <c r="J11" s="96" t="e">
        <f t="shared" si="0"/>
        <v>#DIV/0!</v>
      </c>
    </row>
    <row r="12" spans="1:10" ht="25.5" x14ac:dyDescent="0.2">
      <c r="A12" s="97" t="s">
        <v>218</v>
      </c>
      <c r="B12" s="93">
        <v>13244</v>
      </c>
      <c r="C12" s="94" t="s">
        <v>16</v>
      </c>
      <c r="D12" s="94" t="s">
        <v>27</v>
      </c>
      <c r="E12" s="95" t="s">
        <v>28</v>
      </c>
      <c r="F12" s="76">
        <v>90</v>
      </c>
      <c r="G12" s="17"/>
      <c r="H12" s="9">
        <f>ROUND(G12+(G12*$H$2),2)</f>
        <v>0</v>
      </c>
      <c r="I12" s="9">
        <f t="shared" si="1"/>
        <v>0</v>
      </c>
      <c r="J12" s="96" t="e">
        <f t="shared" si="0"/>
        <v>#DIV/0!</v>
      </c>
    </row>
    <row r="13" spans="1:10" ht="25.5" x14ac:dyDescent="0.2">
      <c r="A13" s="97" t="s">
        <v>219</v>
      </c>
      <c r="B13" s="93">
        <v>37524</v>
      </c>
      <c r="C13" s="94" t="s">
        <v>16</v>
      </c>
      <c r="D13" s="94" t="s">
        <v>29</v>
      </c>
      <c r="E13" s="95" t="s">
        <v>30</v>
      </c>
      <c r="F13" s="76">
        <v>100</v>
      </c>
      <c r="G13" s="17"/>
      <c r="H13" s="9">
        <f>ROUND(G13+(G13*$H$2),2)</f>
        <v>0</v>
      </c>
      <c r="I13" s="9">
        <f t="shared" si="1"/>
        <v>0</v>
      </c>
      <c r="J13" s="96" t="e">
        <f t="shared" si="0"/>
        <v>#DIV/0!</v>
      </c>
    </row>
    <row r="14" spans="1:10" ht="30" customHeight="1" x14ac:dyDescent="0.2">
      <c r="A14" s="98">
        <v>3</v>
      </c>
      <c r="B14" s="99"/>
      <c r="C14" s="99"/>
      <c r="D14" s="99" t="s">
        <v>31</v>
      </c>
      <c r="E14" s="99"/>
      <c r="F14" s="77"/>
      <c r="G14" s="14"/>
      <c r="H14" s="100"/>
      <c r="I14" s="101">
        <f>SUM(I15:I16)</f>
        <v>0</v>
      </c>
      <c r="J14" s="102" t="e">
        <f t="shared" si="0"/>
        <v>#DIV/0!</v>
      </c>
    </row>
    <row r="15" spans="1:10" ht="38.25" x14ac:dyDescent="0.2">
      <c r="A15" s="97" t="s">
        <v>220</v>
      </c>
      <c r="B15" s="16">
        <v>70010010</v>
      </c>
      <c r="C15" s="11" t="s">
        <v>129</v>
      </c>
      <c r="D15" s="11" t="s">
        <v>63</v>
      </c>
      <c r="E15" s="87" t="s">
        <v>30</v>
      </c>
      <c r="F15" s="76">
        <v>1024.3499999999999</v>
      </c>
      <c r="G15" s="17"/>
      <c r="H15" s="9">
        <f>ROUND(G15+(G15*$H$2),2)</f>
        <v>0</v>
      </c>
      <c r="I15" s="9">
        <f t="shared" si="1"/>
        <v>0</v>
      </c>
      <c r="J15" s="96" t="e">
        <f t="shared" si="0"/>
        <v>#DIV/0!</v>
      </c>
    </row>
    <row r="16" spans="1:10" ht="25.5" x14ac:dyDescent="0.2">
      <c r="A16" s="97" t="s">
        <v>221</v>
      </c>
      <c r="B16" s="86">
        <v>70010011</v>
      </c>
      <c r="C16" s="11" t="s">
        <v>129</v>
      </c>
      <c r="D16" s="11" t="s">
        <v>64</v>
      </c>
      <c r="E16" s="87" t="s">
        <v>30</v>
      </c>
      <c r="F16" s="76">
        <v>1024.3499999999999</v>
      </c>
      <c r="G16" s="17"/>
      <c r="H16" s="9">
        <f>ROUND(G16+(G16*$H$2),2)</f>
        <v>0</v>
      </c>
      <c r="I16" s="9">
        <f t="shared" si="1"/>
        <v>0</v>
      </c>
      <c r="J16" s="96" t="e">
        <f t="shared" si="0"/>
        <v>#DIV/0!</v>
      </c>
    </row>
    <row r="17" spans="1:12" ht="30" customHeight="1" x14ac:dyDescent="0.2">
      <c r="A17" s="98">
        <v>4</v>
      </c>
      <c r="B17" s="99"/>
      <c r="C17" s="99"/>
      <c r="D17" s="99" t="s">
        <v>32</v>
      </c>
      <c r="E17" s="99"/>
      <c r="F17" s="77"/>
      <c r="G17" s="14"/>
      <c r="H17" s="100"/>
      <c r="I17" s="101">
        <f>SUM(I18:I23)</f>
        <v>0</v>
      </c>
      <c r="J17" s="102" t="e">
        <f t="shared" si="0"/>
        <v>#DIV/0!</v>
      </c>
    </row>
    <row r="18" spans="1:12" ht="63.75" x14ac:dyDescent="0.2">
      <c r="A18" s="97" t="s">
        <v>132</v>
      </c>
      <c r="B18" s="86">
        <v>102276</v>
      </c>
      <c r="C18" s="11" t="s">
        <v>16</v>
      </c>
      <c r="D18" s="11" t="s">
        <v>134</v>
      </c>
      <c r="E18" s="87" t="s">
        <v>24</v>
      </c>
      <c r="F18" s="76">
        <v>54.88</v>
      </c>
      <c r="G18" s="17"/>
      <c r="H18" s="9">
        <f>ROUND(G18+(G18*$H$2),2)</f>
        <v>0</v>
      </c>
      <c r="I18" s="9">
        <f t="shared" si="1"/>
        <v>0</v>
      </c>
      <c r="J18" s="96" t="e">
        <f t="shared" si="0"/>
        <v>#DIV/0!</v>
      </c>
    </row>
    <row r="19" spans="1:12" s="19" customFormat="1" ht="63.75" x14ac:dyDescent="0.2">
      <c r="A19" s="97" t="s">
        <v>132</v>
      </c>
      <c r="B19" s="86" t="s">
        <v>33</v>
      </c>
      <c r="C19" s="11" t="s">
        <v>16</v>
      </c>
      <c r="D19" s="11" t="s">
        <v>34</v>
      </c>
      <c r="E19" s="87" t="s">
        <v>24</v>
      </c>
      <c r="F19" s="76">
        <v>3966.34</v>
      </c>
      <c r="G19" s="17"/>
      <c r="H19" s="9">
        <f>ROUND(G19+(G19*$H$2),2)</f>
        <v>0</v>
      </c>
      <c r="I19" s="9">
        <f t="shared" ref="I19" si="2">ROUND(H19*F19,2)</f>
        <v>0</v>
      </c>
      <c r="J19" s="96" t="e">
        <f t="shared" si="0"/>
        <v>#DIV/0!</v>
      </c>
      <c r="L19" s="78"/>
    </row>
    <row r="20" spans="1:12" ht="63.75" x14ac:dyDescent="0.2">
      <c r="A20" s="97" t="s">
        <v>70</v>
      </c>
      <c r="B20" s="86">
        <v>102312</v>
      </c>
      <c r="C20" s="11" t="s">
        <v>16</v>
      </c>
      <c r="D20" s="11" t="s">
        <v>65</v>
      </c>
      <c r="E20" s="87" t="s">
        <v>24</v>
      </c>
      <c r="F20" s="76">
        <v>788.38</v>
      </c>
      <c r="G20" s="17"/>
      <c r="H20" s="9">
        <f>ROUND(G20+(G20*$H$2),2)</f>
        <v>0</v>
      </c>
      <c r="I20" s="9">
        <f t="shared" si="1"/>
        <v>0</v>
      </c>
      <c r="J20" s="96" t="e">
        <f t="shared" si="0"/>
        <v>#DIV/0!</v>
      </c>
    </row>
    <row r="21" spans="1:12" s="18" customFormat="1" ht="25.5" x14ac:dyDescent="0.2">
      <c r="A21" s="97" t="s">
        <v>71</v>
      </c>
      <c r="B21" s="86">
        <v>101623</v>
      </c>
      <c r="C21" s="11" t="s">
        <v>16</v>
      </c>
      <c r="D21" s="11" t="s">
        <v>123</v>
      </c>
      <c r="E21" s="12" t="s">
        <v>24</v>
      </c>
      <c r="F21" s="76">
        <v>100.43</v>
      </c>
      <c r="G21" s="17"/>
      <c r="H21" s="9">
        <f>ROUND(G21+(G21*$H$2),2)</f>
        <v>0</v>
      </c>
      <c r="I21" s="9">
        <f t="shared" ref="I21" si="3">ROUND(H21*F21,2)</f>
        <v>0</v>
      </c>
      <c r="J21" s="96" t="e">
        <f t="shared" si="0"/>
        <v>#DIV/0!</v>
      </c>
      <c r="L21" s="78"/>
    </row>
    <row r="22" spans="1:12" ht="25.5" x14ac:dyDescent="0.2">
      <c r="A22" s="97" t="s">
        <v>72</v>
      </c>
      <c r="B22" s="86">
        <v>4730</v>
      </c>
      <c r="C22" s="11" t="s">
        <v>16</v>
      </c>
      <c r="D22" s="11" t="s">
        <v>124</v>
      </c>
      <c r="E22" s="12" t="s">
        <v>24</v>
      </c>
      <c r="F22" s="76">
        <v>301.3</v>
      </c>
      <c r="G22" s="17"/>
      <c r="H22" s="9">
        <f>ROUND(G22+(G22*$H$2),2)</f>
        <v>0</v>
      </c>
      <c r="I22" s="9">
        <f t="shared" si="1"/>
        <v>0</v>
      </c>
      <c r="J22" s="96" t="e">
        <f t="shared" si="0"/>
        <v>#DIV/0!</v>
      </c>
    </row>
    <row r="23" spans="1:12" s="18" customFormat="1" ht="25.5" x14ac:dyDescent="0.2">
      <c r="A23" s="97" t="s">
        <v>133</v>
      </c>
      <c r="B23" s="86">
        <v>95875</v>
      </c>
      <c r="C23" s="11" t="s">
        <v>16</v>
      </c>
      <c r="D23" s="11" t="s">
        <v>125</v>
      </c>
      <c r="E23" s="12" t="s">
        <v>83</v>
      </c>
      <c r="F23" s="76">
        <v>12051.9</v>
      </c>
      <c r="G23" s="17"/>
      <c r="H23" s="9">
        <f t="shared" ref="H23" si="4">ROUND(G23+(G23*$H$2),2)</f>
        <v>0</v>
      </c>
      <c r="I23" s="9">
        <f t="shared" si="1"/>
        <v>0</v>
      </c>
      <c r="J23" s="96" t="e">
        <f t="shared" si="0"/>
        <v>#DIV/0!</v>
      </c>
      <c r="L23" s="78"/>
    </row>
    <row r="24" spans="1:12" ht="30" customHeight="1" x14ac:dyDescent="0.2">
      <c r="A24" s="98">
        <v>5</v>
      </c>
      <c r="B24" s="99"/>
      <c r="C24" s="99"/>
      <c r="D24" s="99" t="s">
        <v>35</v>
      </c>
      <c r="E24" s="99"/>
      <c r="F24" s="77"/>
      <c r="G24" s="14"/>
      <c r="H24" s="100"/>
      <c r="I24" s="101">
        <f>SUM(I25)</f>
        <v>0</v>
      </c>
      <c r="J24" s="102" t="e">
        <f t="shared" si="0"/>
        <v>#DIV/0!</v>
      </c>
    </row>
    <row r="25" spans="1:12" ht="25.5" x14ac:dyDescent="0.2">
      <c r="A25" s="97" t="s">
        <v>36</v>
      </c>
      <c r="B25" s="86" t="s">
        <v>37</v>
      </c>
      <c r="C25" s="11" t="s">
        <v>38</v>
      </c>
      <c r="D25" s="11" t="str">
        <f>UPPER("Escoramento com estacas pranchas metálicas - profundidade até 4 m")</f>
        <v>ESCORAMENTO COM ESTACAS PRANCHAS METÁLICAS - PROFUNDIDADE ATÉ 4 M</v>
      </c>
      <c r="E25" s="87" t="s">
        <v>19</v>
      </c>
      <c r="F25" s="76">
        <v>359.4</v>
      </c>
      <c r="G25" s="17"/>
      <c r="H25" s="9">
        <f>ROUND(G25+(G25*$H$2),2)</f>
        <v>0</v>
      </c>
      <c r="I25" s="9">
        <f t="shared" si="1"/>
        <v>0</v>
      </c>
      <c r="J25" s="96" t="e">
        <f t="shared" si="0"/>
        <v>#DIV/0!</v>
      </c>
    </row>
    <row r="26" spans="1:12" ht="30" customHeight="1" x14ac:dyDescent="0.2">
      <c r="A26" s="98">
        <v>6</v>
      </c>
      <c r="B26" s="99"/>
      <c r="C26" s="99"/>
      <c r="D26" s="99" t="s">
        <v>39</v>
      </c>
      <c r="E26" s="99"/>
      <c r="F26" s="77"/>
      <c r="G26" s="14"/>
      <c r="H26" s="100"/>
      <c r="I26" s="101">
        <f>SUM(I27:I31)</f>
        <v>0</v>
      </c>
      <c r="J26" s="102" t="e">
        <f t="shared" si="0"/>
        <v>#DIV/0!</v>
      </c>
    </row>
    <row r="27" spans="1:12" ht="38.25" x14ac:dyDescent="0.2">
      <c r="A27" s="97" t="s">
        <v>209</v>
      </c>
      <c r="B27" s="86">
        <v>90735</v>
      </c>
      <c r="C27" s="11" t="s">
        <v>16</v>
      </c>
      <c r="D27" s="11" t="s">
        <v>135</v>
      </c>
      <c r="E27" s="87" t="s">
        <v>30</v>
      </c>
      <c r="F27" s="76">
        <v>68.599999999999994</v>
      </c>
      <c r="G27" s="17"/>
      <c r="H27" s="9">
        <f t="shared" ref="H27:H29" si="5">ROUND(G27+(G27*$H$2),2)</f>
        <v>0</v>
      </c>
      <c r="I27" s="9">
        <f t="shared" si="1"/>
        <v>0</v>
      </c>
      <c r="J27" s="96" t="e">
        <f t="shared" si="0"/>
        <v>#DIV/0!</v>
      </c>
    </row>
    <row r="28" spans="1:12" s="10" customFormat="1" x14ac:dyDescent="0.2">
      <c r="A28" s="97" t="s">
        <v>210</v>
      </c>
      <c r="B28" s="93">
        <v>41930</v>
      </c>
      <c r="C28" s="94" t="s">
        <v>16</v>
      </c>
      <c r="D28" s="94" t="s">
        <v>136</v>
      </c>
      <c r="E28" s="95" t="s">
        <v>30</v>
      </c>
      <c r="F28" s="76">
        <v>68.599999999999994</v>
      </c>
      <c r="G28" s="17"/>
      <c r="H28" s="9">
        <f t="shared" si="5"/>
        <v>0</v>
      </c>
      <c r="I28" s="9">
        <f t="shared" ref="I28:I29" si="6">ROUND(H28*F28,2)</f>
        <v>0</v>
      </c>
      <c r="J28" s="96" t="e">
        <f t="shared" si="0"/>
        <v>#DIV/0!</v>
      </c>
      <c r="L28" s="78"/>
    </row>
    <row r="29" spans="1:12" s="19" customFormat="1" ht="38.25" x14ac:dyDescent="0.2">
      <c r="A29" s="97" t="s">
        <v>211</v>
      </c>
      <c r="B29" s="86" t="s">
        <v>40</v>
      </c>
      <c r="C29" s="11" t="s">
        <v>16</v>
      </c>
      <c r="D29" s="11" t="s">
        <v>41</v>
      </c>
      <c r="E29" s="87" t="s">
        <v>30</v>
      </c>
      <c r="F29" s="76">
        <v>1004.35</v>
      </c>
      <c r="G29" s="17"/>
      <c r="H29" s="9">
        <f t="shared" si="5"/>
        <v>0</v>
      </c>
      <c r="I29" s="9">
        <f t="shared" si="6"/>
        <v>0</v>
      </c>
      <c r="J29" s="96" t="e">
        <f t="shared" si="0"/>
        <v>#DIV/0!</v>
      </c>
      <c r="L29" s="78"/>
    </row>
    <row r="30" spans="1:12" s="19" customFormat="1" ht="25.5" x14ac:dyDescent="0.2">
      <c r="A30" s="97" t="s">
        <v>212</v>
      </c>
      <c r="B30" s="93" t="s">
        <v>42</v>
      </c>
      <c r="C30" s="94" t="s">
        <v>16</v>
      </c>
      <c r="D30" s="11" t="s">
        <v>232</v>
      </c>
      <c r="E30" s="95" t="s">
        <v>30</v>
      </c>
      <c r="F30" s="76">
        <v>1004.35</v>
      </c>
      <c r="G30" s="17"/>
      <c r="H30" s="9">
        <f>ROUND(G30+G30*0.16,2)</f>
        <v>0</v>
      </c>
      <c r="I30" s="9">
        <f t="shared" ref="I30" si="7">ROUND(H30*F30,2)</f>
        <v>0</v>
      </c>
      <c r="J30" s="96" t="e">
        <f t="shared" si="0"/>
        <v>#DIV/0!</v>
      </c>
      <c r="L30" s="78"/>
    </row>
    <row r="31" spans="1:12" s="75" customFormat="1" x14ac:dyDescent="0.2">
      <c r="A31" s="97" t="s">
        <v>208</v>
      </c>
      <c r="B31" s="16" t="s">
        <v>229</v>
      </c>
      <c r="C31" s="11" t="s">
        <v>228</v>
      </c>
      <c r="D31" s="11" t="s">
        <v>222</v>
      </c>
      <c r="E31" s="12" t="s">
        <v>30</v>
      </c>
      <c r="F31" s="76">
        <v>20</v>
      </c>
      <c r="G31" s="17"/>
      <c r="H31" s="9">
        <f>ROUND(G31+G31*0.16,2)</f>
        <v>0</v>
      </c>
      <c r="I31" s="9">
        <f t="shared" ref="I31" si="8">ROUND(H31*F31,2)</f>
        <v>0</v>
      </c>
      <c r="J31" s="96" t="e">
        <f t="shared" si="0"/>
        <v>#DIV/0!</v>
      </c>
      <c r="L31" s="78"/>
    </row>
    <row r="32" spans="1:12" s="117" customFormat="1" ht="21" customHeight="1" x14ac:dyDescent="0.2">
      <c r="A32" s="135" t="s">
        <v>227</v>
      </c>
      <c r="B32" s="136"/>
      <c r="C32" s="136"/>
      <c r="D32" s="136"/>
      <c r="E32" s="136"/>
      <c r="F32" s="136"/>
      <c r="G32" s="136"/>
      <c r="H32" s="136"/>
      <c r="I32" s="136"/>
      <c r="J32" s="137"/>
      <c r="L32" s="78"/>
    </row>
    <row r="33" spans="1:12" ht="30" customHeight="1" x14ac:dyDescent="0.2">
      <c r="A33" s="98">
        <v>7</v>
      </c>
      <c r="B33" s="99"/>
      <c r="C33" s="99"/>
      <c r="D33" s="99" t="s">
        <v>43</v>
      </c>
      <c r="E33" s="99"/>
      <c r="F33" s="77"/>
      <c r="G33" s="14"/>
      <c r="H33" s="100"/>
      <c r="I33" s="101">
        <f>SUM(I34:I36)</f>
        <v>0</v>
      </c>
      <c r="J33" s="102" t="e">
        <f t="shared" ref="J33:J64" si="9">I33/$I$81</f>
        <v>#DIV/0!</v>
      </c>
    </row>
    <row r="34" spans="1:12" ht="38.25" x14ac:dyDescent="0.2">
      <c r="A34" s="97" t="s">
        <v>44</v>
      </c>
      <c r="B34" s="86" t="s">
        <v>45</v>
      </c>
      <c r="C34" s="11" t="s">
        <v>16</v>
      </c>
      <c r="D34" s="11" t="s">
        <v>46</v>
      </c>
      <c r="E34" s="87" t="s">
        <v>28</v>
      </c>
      <c r="F34" s="76">
        <v>15</v>
      </c>
      <c r="G34" s="17"/>
      <c r="H34" s="9">
        <f>ROUND(G34+(G34*$H$2),2)</f>
        <v>0</v>
      </c>
      <c r="I34" s="9">
        <f t="shared" si="1"/>
        <v>0</v>
      </c>
      <c r="J34" s="96" t="e">
        <f t="shared" si="9"/>
        <v>#DIV/0!</v>
      </c>
    </row>
    <row r="35" spans="1:12" ht="38.25" x14ac:dyDescent="0.2">
      <c r="A35" s="97" t="s">
        <v>73</v>
      </c>
      <c r="B35" s="93" t="s">
        <v>47</v>
      </c>
      <c r="C35" s="94" t="s">
        <v>16</v>
      </c>
      <c r="D35" s="94" t="s">
        <v>48</v>
      </c>
      <c r="E35" s="95" t="s">
        <v>28</v>
      </c>
      <c r="F35" s="76">
        <v>15</v>
      </c>
      <c r="G35" s="17"/>
      <c r="H35" s="9">
        <f>ROUND(G35+(G35*$H$2),2)</f>
        <v>0</v>
      </c>
      <c r="I35" s="9">
        <f t="shared" si="1"/>
        <v>0</v>
      </c>
      <c r="J35" s="96" t="e">
        <f t="shared" si="9"/>
        <v>#DIV/0!</v>
      </c>
    </row>
    <row r="36" spans="1:12" ht="25.5" x14ac:dyDescent="0.2">
      <c r="A36" s="97" t="s">
        <v>74</v>
      </c>
      <c r="B36" s="86">
        <v>98050</v>
      </c>
      <c r="C36" s="11" t="s">
        <v>16</v>
      </c>
      <c r="D36" s="11" t="s">
        <v>137</v>
      </c>
      <c r="E36" s="87" t="s">
        <v>30</v>
      </c>
      <c r="F36" s="76">
        <v>14.93</v>
      </c>
      <c r="G36" s="17"/>
      <c r="H36" s="9">
        <f>ROUND(G36+(G36*$H$2),2)</f>
        <v>0</v>
      </c>
      <c r="I36" s="9">
        <f t="shared" si="1"/>
        <v>0</v>
      </c>
      <c r="J36" s="96" t="e">
        <f t="shared" si="9"/>
        <v>#DIV/0!</v>
      </c>
    </row>
    <row r="37" spans="1:12" ht="30" customHeight="1" x14ac:dyDescent="0.2">
      <c r="A37" s="98">
        <v>8</v>
      </c>
      <c r="B37" s="99"/>
      <c r="C37" s="99"/>
      <c r="D37" s="99" t="s">
        <v>49</v>
      </c>
      <c r="E37" s="99"/>
      <c r="F37" s="77"/>
      <c r="G37" s="14"/>
      <c r="H37" s="100"/>
      <c r="I37" s="101">
        <f>SUM(I38:I39)</f>
        <v>0</v>
      </c>
      <c r="J37" s="102" t="e">
        <f t="shared" si="9"/>
        <v>#DIV/0!</v>
      </c>
    </row>
    <row r="38" spans="1:12" s="5" customFormat="1" ht="63.75" x14ac:dyDescent="0.2">
      <c r="A38" s="97" t="s">
        <v>131</v>
      </c>
      <c r="B38" s="86" t="s">
        <v>50</v>
      </c>
      <c r="C38" s="11" t="s">
        <v>16</v>
      </c>
      <c r="D38" s="11" t="s">
        <v>138</v>
      </c>
      <c r="E38" s="87" t="s">
        <v>24</v>
      </c>
      <c r="F38" s="76">
        <v>3279.78</v>
      </c>
      <c r="G38" s="17"/>
      <c r="H38" s="9">
        <f>ROUND(G38+(G38*$H$2),2)</f>
        <v>0</v>
      </c>
      <c r="I38" s="9">
        <f t="shared" ref="I38" si="10">ROUND(H38*F38,2)</f>
        <v>0</v>
      </c>
      <c r="J38" s="96" t="e">
        <f t="shared" si="9"/>
        <v>#DIV/0!</v>
      </c>
      <c r="L38" s="78"/>
    </row>
    <row r="39" spans="1:12" ht="63.75" x14ac:dyDescent="0.2">
      <c r="A39" s="97" t="s">
        <v>75</v>
      </c>
      <c r="B39" s="103">
        <v>93373</v>
      </c>
      <c r="C39" s="11" t="s">
        <v>16</v>
      </c>
      <c r="D39" s="11" t="s">
        <v>195</v>
      </c>
      <c r="E39" s="87" t="s">
        <v>24</v>
      </c>
      <c r="F39" s="76">
        <v>686.72</v>
      </c>
      <c r="G39" s="17"/>
      <c r="H39" s="9">
        <f>ROUND(G39+(G39*$H$2),2)</f>
        <v>0</v>
      </c>
      <c r="I39" s="9">
        <f t="shared" si="1"/>
        <v>0</v>
      </c>
      <c r="J39" s="96" t="e">
        <f t="shared" si="9"/>
        <v>#DIV/0!</v>
      </c>
      <c r="L39" s="79"/>
    </row>
    <row r="40" spans="1:12" ht="30" customHeight="1" x14ac:dyDescent="0.2">
      <c r="A40" s="98">
        <v>9</v>
      </c>
      <c r="B40" s="99"/>
      <c r="C40" s="99"/>
      <c r="D40" s="99" t="s">
        <v>51</v>
      </c>
      <c r="E40" s="99"/>
      <c r="F40" s="77"/>
      <c r="G40" s="14"/>
      <c r="H40" s="100"/>
      <c r="I40" s="101">
        <f>SUM(I41:I42)</f>
        <v>0</v>
      </c>
      <c r="J40" s="102" t="e">
        <f t="shared" si="9"/>
        <v>#DIV/0!</v>
      </c>
    </row>
    <row r="41" spans="1:12" ht="25.5" x14ac:dyDescent="0.2">
      <c r="A41" s="97" t="s">
        <v>52</v>
      </c>
      <c r="B41" s="86" t="s">
        <v>23</v>
      </c>
      <c r="C41" s="11" t="s">
        <v>16</v>
      </c>
      <c r="D41" s="11" t="s">
        <v>188</v>
      </c>
      <c r="E41" s="87" t="s">
        <v>24</v>
      </c>
      <c r="F41" s="76">
        <v>451.75</v>
      </c>
      <c r="G41" s="17"/>
      <c r="H41" s="9">
        <f>ROUND(G41+(G41*$H$2),2)</f>
        <v>0</v>
      </c>
      <c r="I41" s="9">
        <f t="shared" si="1"/>
        <v>0</v>
      </c>
      <c r="J41" s="96" t="e">
        <f t="shared" si="9"/>
        <v>#DIV/0!</v>
      </c>
    </row>
    <row r="42" spans="1:12" ht="25.5" x14ac:dyDescent="0.2">
      <c r="A42" s="97" t="s">
        <v>76</v>
      </c>
      <c r="B42" s="86" t="s">
        <v>25</v>
      </c>
      <c r="C42" s="11" t="s">
        <v>16</v>
      </c>
      <c r="D42" s="11" t="s">
        <v>68</v>
      </c>
      <c r="E42" s="12" t="s">
        <v>83</v>
      </c>
      <c r="F42" s="76">
        <f>F41*10</f>
        <v>4517.5</v>
      </c>
      <c r="G42" s="17"/>
      <c r="H42" s="9">
        <f>ROUND(G42+(G42*$H$2),2)</f>
        <v>0</v>
      </c>
      <c r="I42" s="9">
        <f t="shared" si="1"/>
        <v>0</v>
      </c>
      <c r="J42" s="96" t="e">
        <f t="shared" si="9"/>
        <v>#DIV/0!</v>
      </c>
    </row>
    <row r="43" spans="1:12" s="10" customFormat="1" ht="30" customHeight="1" x14ac:dyDescent="0.2">
      <c r="A43" s="104">
        <v>10</v>
      </c>
      <c r="B43" s="13"/>
      <c r="C43" s="13"/>
      <c r="D43" s="13" t="s">
        <v>94</v>
      </c>
      <c r="E43" s="13"/>
      <c r="F43" s="77"/>
      <c r="G43" s="14"/>
      <c r="H43" s="14"/>
      <c r="I43" s="15">
        <f>SUM(I44:I55)</f>
        <v>0</v>
      </c>
      <c r="J43" s="102" t="e">
        <f t="shared" si="9"/>
        <v>#DIV/0!</v>
      </c>
      <c r="L43" s="78"/>
    </row>
    <row r="44" spans="1:12" s="10" customFormat="1" ht="25.5" x14ac:dyDescent="0.2">
      <c r="A44" s="97" t="s">
        <v>54</v>
      </c>
      <c r="B44" s="16" t="s">
        <v>95</v>
      </c>
      <c r="C44" s="11" t="s">
        <v>38</v>
      </c>
      <c r="D44" s="11" t="str">
        <f>UPPER("Projeto executivo de estrutura em formato A1 para travessia aérea")</f>
        <v>PROJETO EXECUTIVO DE ESTRUTURA EM FORMATO A1 PARA TRAVESSIA AÉREA</v>
      </c>
      <c r="E44" s="12" t="s">
        <v>67</v>
      </c>
      <c r="F44" s="76">
        <v>1</v>
      </c>
      <c r="G44" s="17"/>
      <c r="H44" s="17">
        <f>ROUND(G44+(G44*$H$2),2)</f>
        <v>0</v>
      </c>
      <c r="I44" s="17">
        <f t="shared" ref="I44:I55" si="11">ROUND(H44*F44,2)</f>
        <v>0</v>
      </c>
      <c r="J44" s="96" t="e">
        <f t="shared" si="9"/>
        <v>#DIV/0!</v>
      </c>
      <c r="L44" s="78"/>
    </row>
    <row r="45" spans="1:12" s="10" customFormat="1" ht="38.25" x14ac:dyDescent="0.2">
      <c r="A45" s="97" t="s">
        <v>77</v>
      </c>
      <c r="B45" s="16">
        <v>96521</v>
      </c>
      <c r="C45" s="11" t="s">
        <v>16</v>
      </c>
      <c r="D45" s="11" t="s">
        <v>96</v>
      </c>
      <c r="E45" s="12" t="s">
        <v>24</v>
      </c>
      <c r="F45" s="76">
        <f>2*1.2*2*0.6</f>
        <v>2.88</v>
      </c>
      <c r="G45" s="17"/>
      <c r="H45" s="17">
        <f>ROUND(G45+(G45*$H$2),2)</f>
        <v>0</v>
      </c>
      <c r="I45" s="17">
        <f>ROUND(H45*F45,2)</f>
        <v>0</v>
      </c>
      <c r="J45" s="96" t="e">
        <f t="shared" si="9"/>
        <v>#DIV/0!</v>
      </c>
      <c r="L45" s="78"/>
    </row>
    <row r="46" spans="1:12" s="10" customFormat="1" ht="25.5" x14ac:dyDescent="0.2">
      <c r="A46" s="97" t="s">
        <v>78</v>
      </c>
      <c r="B46" s="16" t="s">
        <v>108</v>
      </c>
      <c r="C46" s="11" t="s">
        <v>38</v>
      </c>
      <c r="D46" s="11" t="str">
        <f>UPPER("Taxa de mobilização e desmobilização de equipamentos para execução de estaca tipo hélice contínua em solo")</f>
        <v>TAXA DE MOBILIZAÇÃO E DESMOBILIZAÇÃO DE EQUIPAMENTOS PARA EXECUÇÃO DE ESTACA TIPO HÉLICE CONTÍNUA EM SOLO</v>
      </c>
      <c r="E46" s="12" t="s">
        <v>109</v>
      </c>
      <c r="F46" s="76">
        <v>1</v>
      </c>
      <c r="G46" s="17"/>
      <c r="H46" s="17">
        <f>ROUND(G46+(G46*$H$2),2)</f>
        <v>0</v>
      </c>
      <c r="I46" s="17">
        <f t="shared" si="11"/>
        <v>0</v>
      </c>
      <c r="J46" s="96" t="e">
        <f t="shared" si="9"/>
        <v>#DIV/0!</v>
      </c>
      <c r="L46" s="78"/>
    </row>
    <row r="47" spans="1:12" s="10" customFormat="1" ht="38.25" x14ac:dyDescent="0.2">
      <c r="A47" s="97" t="s">
        <v>79</v>
      </c>
      <c r="B47" s="16">
        <v>100651</v>
      </c>
      <c r="C47" s="11" t="s">
        <v>16</v>
      </c>
      <c r="D47" s="11" t="s">
        <v>102</v>
      </c>
      <c r="E47" s="12" t="s">
        <v>30</v>
      </c>
      <c r="F47" s="76">
        <v>48</v>
      </c>
      <c r="G47" s="17"/>
      <c r="H47" s="17">
        <f t="shared" ref="H47" si="12">ROUND(G47+(G47*$H$2),2)</f>
        <v>0</v>
      </c>
      <c r="I47" s="17">
        <f t="shared" ref="I47" si="13">ROUND(H47*F47,2)</f>
        <v>0</v>
      </c>
      <c r="J47" s="96" t="e">
        <f t="shared" si="9"/>
        <v>#DIV/0!</v>
      </c>
      <c r="L47" s="78"/>
    </row>
    <row r="48" spans="1:12" s="10" customFormat="1" ht="38.25" x14ac:dyDescent="0.2">
      <c r="A48" s="97" t="s">
        <v>80</v>
      </c>
      <c r="B48" s="16">
        <v>96531</v>
      </c>
      <c r="C48" s="11" t="s">
        <v>16</v>
      </c>
      <c r="D48" s="11" t="s">
        <v>101</v>
      </c>
      <c r="E48" s="12" t="s">
        <v>19</v>
      </c>
      <c r="F48" s="76">
        <v>6</v>
      </c>
      <c r="G48" s="17"/>
      <c r="H48" s="17">
        <f>ROUND(G48+(G48*$H$2),2)</f>
        <v>0</v>
      </c>
      <c r="I48" s="17">
        <f t="shared" si="11"/>
        <v>0</v>
      </c>
      <c r="J48" s="96" t="e">
        <f t="shared" si="9"/>
        <v>#DIV/0!</v>
      </c>
      <c r="L48" s="78"/>
    </row>
    <row r="49" spans="1:12" s="10" customFormat="1" ht="25.5" x14ac:dyDescent="0.2">
      <c r="A49" s="97" t="s">
        <v>81</v>
      </c>
      <c r="B49" s="16">
        <v>96546</v>
      </c>
      <c r="C49" s="11" t="s">
        <v>16</v>
      </c>
      <c r="D49" s="11" t="s">
        <v>98</v>
      </c>
      <c r="E49" s="12" t="s">
        <v>100</v>
      </c>
      <c r="F49" s="76">
        <v>70</v>
      </c>
      <c r="G49" s="17"/>
      <c r="H49" s="17">
        <f t="shared" ref="H49:H55" si="14">ROUND(G49+(G49*$H$2),2)</f>
        <v>0</v>
      </c>
      <c r="I49" s="17">
        <f t="shared" si="11"/>
        <v>0</v>
      </c>
      <c r="J49" s="96" t="e">
        <f t="shared" si="9"/>
        <v>#DIV/0!</v>
      </c>
      <c r="L49" s="78"/>
    </row>
    <row r="50" spans="1:12" s="10" customFormat="1" ht="25.5" x14ac:dyDescent="0.2">
      <c r="A50" s="97" t="s">
        <v>82</v>
      </c>
      <c r="B50" s="16">
        <v>96558</v>
      </c>
      <c r="C50" s="11" t="s">
        <v>16</v>
      </c>
      <c r="D50" s="11" t="s">
        <v>99</v>
      </c>
      <c r="E50" s="12" t="s">
        <v>24</v>
      </c>
      <c r="F50" s="76">
        <v>1.73</v>
      </c>
      <c r="G50" s="17"/>
      <c r="H50" s="17">
        <f>ROUND(G50+(G50*$H$2),2)</f>
        <v>0</v>
      </c>
      <c r="I50" s="17">
        <f>ROUND(H50*F50,2)</f>
        <v>0</v>
      </c>
      <c r="J50" s="96" t="e">
        <f t="shared" si="9"/>
        <v>#DIV/0!</v>
      </c>
      <c r="L50" s="78"/>
    </row>
    <row r="51" spans="1:12" s="10" customFormat="1" ht="25.5" x14ac:dyDescent="0.2">
      <c r="A51" s="97" t="s">
        <v>89</v>
      </c>
      <c r="B51" s="16">
        <v>96619</v>
      </c>
      <c r="C51" s="11" t="s">
        <v>16</v>
      </c>
      <c r="D51" s="11" t="s">
        <v>103</v>
      </c>
      <c r="E51" s="12" t="s">
        <v>19</v>
      </c>
      <c r="F51" s="76">
        <v>2.88</v>
      </c>
      <c r="G51" s="17"/>
      <c r="H51" s="17">
        <f t="shared" si="14"/>
        <v>0</v>
      </c>
      <c r="I51" s="17">
        <f t="shared" si="11"/>
        <v>0</v>
      </c>
      <c r="J51" s="96" t="e">
        <f t="shared" si="9"/>
        <v>#DIV/0!</v>
      </c>
      <c r="L51" s="78"/>
    </row>
    <row r="52" spans="1:12" s="10" customFormat="1" ht="25.5" x14ac:dyDescent="0.2">
      <c r="A52" s="97" t="s">
        <v>90</v>
      </c>
      <c r="B52" s="16">
        <v>96252</v>
      </c>
      <c r="C52" s="11" t="s">
        <v>16</v>
      </c>
      <c r="D52" s="11" t="s">
        <v>104</v>
      </c>
      <c r="E52" s="12" t="s">
        <v>19</v>
      </c>
      <c r="F52" s="76">
        <v>7.8</v>
      </c>
      <c r="G52" s="17"/>
      <c r="H52" s="17">
        <f t="shared" si="14"/>
        <v>0</v>
      </c>
      <c r="I52" s="17">
        <f t="shared" si="11"/>
        <v>0</v>
      </c>
      <c r="J52" s="96" t="e">
        <f t="shared" si="9"/>
        <v>#DIV/0!</v>
      </c>
      <c r="L52" s="78"/>
    </row>
    <row r="53" spans="1:12" s="10" customFormat="1" ht="38.25" x14ac:dyDescent="0.2">
      <c r="A53" s="97" t="s">
        <v>91</v>
      </c>
      <c r="B53" s="16">
        <v>92921</v>
      </c>
      <c r="C53" s="11" t="s">
        <v>16</v>
      </c>
      <c r="D53" s="11" t="s">
        <v>105</v>
      </c>
      <c r="E53" s="12" t="s">
        <v>97</v>
      </c>
      <c r="F53" s="76">
        <v>25</v>
      </c>
      <c r="G53" s="17"/>
      <c r="H53" s="17">
        <f t="shared" ref="H53:H54" si="15">ROUND(G53+(G53*$H$2),2)</f>
        <v>0</v>
      </c>
      <c r="I53" s="17">
        <f t="shared" ref="I53:I54" si="16">ROUND(H53*F53,2)</f>
        <v>0</v>
      </c>
      <c r="J53" s="96" t="e">
        <f t="shared" si="9"/>
        <v>#DIV/0!</v>
      </c>
      <c r="L53" s="78"/>
    </row>
    <row r="54" spans="1:12" s="10" customFormat="1" ht="38.25" x14ac:dyDescent="0.2">
      <c r="A54" s="97" t="s">
        <v>92</v>
      </c>
      <c r="B54" s="16">
        <v>92915</v>
      </c>
      <c r="C54" s="11" t="s">
        <v>16</v>
      </c>
      <c r="D54" s="11" t="s">
        <v>106</v>
      </c>
      <c r="E54" s="12" t="s">
        <v>97</v>
      </c>
      <c r="F54" s="76">
        <v>10</v>
      </c>
      <c r="G54" s="17"/>
      <c r="H54" s="17">
        <f t="shared" si="15"/>
        <v>0</v>
      </c>
      <c r="I54" s="17">
        <f t="shared" si="16"/>
        <v>0</v>
      </c>
      <c r="J54" s="96" t="e">
        <f t="shared" si="9"/>
        <v>#DIV/0!</v>
      </c>
      <c r="L54" s="78"/>
    </row>
    <row r="55" spans="1:12" s="10" customFormat="1" ht="25.5" x14ac:dyDescent="0.2">
      <c r="A55" s="97" t="s">
        <v>93</v>
      </c>
      <c r="B55" s="16">
        <v>103669</v>
      </c>
      <c r="C55" s="11" t="s">
        <v>16</v>
      </c>
      <c r="D55" s="11" t="s">
        <v>107</v>
      </c>
      <c r="E55" s="12" t="s">
        <v>84</v>
      </c>
      <c r="F55" s="76">
        <v>0.9</v>
      </c>
      <c r="G55" s="17"/>
      <c r="H55" s="17">
        <f t="shared" si="14"/>
        <v>0</v>
      </c>
      <c r="I55" s="17">
        <f t="shared" si="11"/>
        <v>0</v>
      </c>
      <c r="J55" s="96" t="e">
        <f t="shared" si="9"/>
        <v>#DIV/0!</v>
      </c>
      <c r="L55" s="78"/>
    </row>
    <row r="56" spans="1:12" ht="30" customHeight="1" x14ac:dyDescent="0.2">
      <c r="A56" s="98">
        <v>11</v>
      </c>
      <c r="B56" s="99"/>
      <c r="C56" s="99"/>
      <c r="D56" s="99" t="s">
        <v>53</v>
      </c>
      <c r="E56" s="99"/>
      <c r="F56" s="105"/>
      <c r="G56" s="14"/>
      <c r="H56" s="100"/>
      <c r="I56" s="101">
        <f>SUM(I57:I70)</f>
        <v>0</v>
      </c>
      <c r="J56" s="102" t="e">
        <f t="shared" si="9"/>
        <v>#DIV/0!</v>
      </c>
    </row>
    <row r="57" spans="1:12" ht="25.5" x14ac:dyDescent="0.2">
      <c r="A57" s="97" t="s">
        <v>110</v>
      </c>
      <c r="B57" s="86" t="s">
        <v>55</v>
      </c>
      <c r="C57" s="11" t="s">
        <v>16</v>
      </c>
      <c r="D57" s="11" t="s">
        <v>56</v>
      </c>
      <c r="E57" s="87" t="s">
        <v>30</v>
      </c>
      <c r="F57" s="76">
        <v>9.1999999999999993</v>
      </c>
      <c r="G57" s="17"/>
      <c r="H57" s="9">
        <f t="shared" ref="H57:H70" si="17">ROUND(G57+(G57*$H$2),2)</f>
        <v>0</v>
      </c>
      <c r="I57" s="9">
        <f t="shared" si="1"/>
        <v>0</v>
      </c>
      <c r="J57" s="96" t="e">
        <f t="shared" si="9"/>
        <v>#DIV/0!</v>
      </c>
    </row>
    <row r="58" spans="1:12" ht="51" x14ac:dyDescent="0.2">
      <c r="A58" s="97" t="s">
        <v>111</v>
      </c>
      <c r="B58" s="86" t="s">
        <v>59</v>
      </c>
      <c r="C58" s="11" t="s">
        <v>16</v>
      </c>
      <c r="D58" s="11" t="s">
        <v>60</v>
      </c>
      <c r="E58" s="87" t="s">
        <v>30</v>
      </c>
      <c r="F58" s="76">
        <v>9.1999999999999993</v>
      </c>
      <c r="G58" s="17"/>
      <c r="H58" s="9">
        <f t="shared" si="17"/>
        <v>0</v>
      </c>
      <c r="I58" s="9">
        <f t="shared" si="1"/>
        <v>0</v>
      </c>
      <c r="J58" s="96" t="e">
        <f t="shared" si="9"/>
        <v>#DIV/0!</v>
      </c>
    </row>
    <row r="59" spans="1:12" ht="25.5" x14ac:dyDescent="0.2">
      <c r="A59" s="97" t="s">
        <v>112</v>
      </c>
      <c r="B59" s="93" t="s">
        <v>61</v>
      </c>
      <c r="C59" s="94" t="s">
        <v>16</v>
      </c>
      <c r="D59" s="94" t="s">
        <v>62</v>
      </c>
      <c r="E59" s="95" t="s">
        <v>30</v>
      </c>
      <c r="F59" s="76">
        <v>9.1999999999999993</v>
      </c>
      <c r="G59" s="17"/>
      <c r="H59" s="9">
        <f t="shared" si="17"/>
        <v>0</v>
      </c>
      <c r="I59" s="9">
        <f t="shared" si="1"/>
        <v>0</v>
      </c>
      <c r="J59" s="96" t="e">
        <f t="shared" si="9"/>
        <v>#DIV/0!</v>
      </c>
    </row>
    <row r="60" spans="1:12" ht="25.5" x14ac:dyDescent="0.2">
      <c r="A60" s="97" t="s">
        <v>113</v>
      </c>
      <c r="B60" s="86" t="s">
        <v>57</v>
      </c>
      <c r="C60" s="11" t="s">
        <v>16</v>
      </c>
      <c r="D60" s="11" t="s">
        <v>58</v>
      </c>
      <c r="E60" s="87" t="s">
        <v>30</v>
      </c>
      <c r="F60" s="76">
        <v>24</v>
      </c>
      <c r="G60" s="17"/>
      <c r="H60" s="9">
        <f t="shared" si="17"/>
        <v>0</v>
      </c>
      <c r="I60" s="9">
        <f t="shared" si="1"/>
        <v>0</v>
      </c>
      <c r="J60" s="96" t="e">
        <f t="shared" si="9"/>
        <v>#DIV/0!</v>
      </c>
    </row>
    <row r="61" spans="1:12" s="5" customFormat="1" ht="25.5" x14ac:dyDescent="0.2">
      <c r="A61" s="97" t="s">
        <v>114</v>
      </c>
      <c r="B61" s="86">
        <v>102990</v>
      </c>
      <c r="C61" s="11" t="s">
        <v>16</v>
      </c>
      <c r="D61" s="11" t="s">
        <v>130</v>
      </c>
      <c r="E61" s="12" t="s">
        <v>30</v>
      </c>
      <c r="F61" s="76">
        <v>2</v>
      </c>
      <c r="G61" s="17"/>
      <c r="H61" s="9">
        <f t="shared" si="17"/>
        <v>0</v>
      </c>
      <c r="I61" s="9">
        <f t="shared" si="1"/>
        <v>0</v>
      </c>
      <c r="J61" s="96" t="e">
        <f t="shared" si="9"/>
        <v>#DIV/0!</v>
      </c>
      <c r="L61" s="78"/>
    </row>
    <row r="62" spans="1:12" s="6" customFormat="1" ht="25.5" x14ac:dyDescent="0.2">
      <c r="A62" s="97" t="s">
        <v>115</v>
      </c>
      <c r="B62" s="86">
        <v>70180007</v>
      </c>
      <c r="C62" s="11" t="s">
        <v>129</v>
      </c>
      <c r="D62" s="11" t="s">
        <v>66</v>
      </c>
      <c r="E62" s="12" t="s">
        <v>67</v>
      </c>
      <c r="F62" s="76">
        <v>9</v>
      </c>
      <c r="G62" s="17"/>
      <c r="H62" s="9">
        <f t="shared" si="17"/>
        <v>0</v>
      </c>
      <c r="I62" s="9">
        <f t="shared" si="1"/>
        <v>0</v>
      </c>
      <c r="J62" s="96" t="e">
        <f t="shared" si="9"/>
        <v>#DIV/0!</v>
      </c>
      <c r="L62" s="78"/>
    </row>
    <row r="63" spans="1:12" s="6" customFormat="1" ht="25.5" x14ac:dyDescent="0.2">
      <c r="A63" s="97" t="s">
        <v>116</v>
      </c>
      <c r="B63" s="86">
        <v>96001</v>
      </c>
      <c r="C63" s="11" t="s">
        <v>16</v>
      </c>
      <c r="D63" s="11" t="str">
        <f>UPPER("Fresagem e Remoção de pavimento asfáltico e calçada. Incluso carga. Exclusive transporte")</f>
        <v>FRESAGEM E REMOÇÃO DE PAVIMENTO ASFÁLTICO E CALÇADA. INCLUSO CARGA. EXCLUSIVE TRANSPORTE</v>
      </c>
      <c r="E63" s="87" t="s">
        <v>19</v>
      </c>
      <c r="F63" s="76">
        <v>56.89</v>
      </c>
      <c r="G63" s="17"/>
      <c r="H63" s="9">
        <f t="shared" si="17"/>
        <v>0</v>
      </c>
      <c r="I63" s="9">
        <f t="shared" ref="I63:I67" si="18">ROUND(H63*F63,2)</f>
        <v>0</v>
      </c>
      <c r="J63" s="96" t="e">
        <f t="shared" si="9"/>
        <v>#DIV/0!</v>
      </c>
      <c r="L63" s="78"/>
    </row>
    <row r="64" spans="1:12" s="6" customFormat="1" ht="25.5" x14ac:dyDescent="0.2">
      <c r="A64" s="97" t="s">
        <v>117</v>
      </c>
      <c r="B64" s="86">
        <v>95875</v>
      </c>
      <c r="C64" s="11" t="s">
        <v>16</v>
      </c>
      <c r="D64" s="11" t="s">
        <v>86</v>
      </c>
      <c r="E64" s="12" t="s">
        <v>83</v>
      </c>
      <c r="F64" s="76">
        <f>F63*1.3*10</f>
        <v>739.57</v>
      </c>
      <c r="G64" s="17"/>
      <c r="H64" s="9">
        <f t="shared" si="17"/>
        <v>0</v>
      </c>
      <c r="I64" s="9">
        <f t="shared" ref="I64:I65" si="19">ROUND(H64*F64,2)</f>
        <v>0</v>
      </c>
      <c r="J64" s="96" t="e">
        <f t="shared" si="9"/>
        <v>#DIV/0!</v>
      </c>
      <c r="L64" s="78"/>
    </row>
    <row r="65" spans="1:12" s="6" customFormat="1" ht="25.5" x14ac:dyDescent="0.2">
      <c r="A65" s="97" t="s">
        <v>118</v>
      </c>
      <c r="B65" s="86">
        <v>94993</v>
      </c>
      <c r="C65" s="11" t="s">
        <v>16</v>
      </c>
      <c r="D65" s="11" t="str">
        <f>UPPER(" Recomposição de passeio de acordo com as características iniciais")</f>
        <v xml:space="preserve"> RECOMPOSIÇÃO DE PASSEIO DE ACORDO COM AS CARACTERÍSTICAS INICIAIS</v>
      </c>
      <c r="E65" s="87" t="s">
        <v>19</v>
      </c>
      <c r="F65" s="76">
        <v>11.97</v>
      </c>
      <c r="G65" s="17"/>
      <c r="H65" s="9">
        <f t="shared" si="17"/>
        <v>0</v>
      </c>
      <c r="I65" s="9">
        <f t="shared" si="19"/>
        <v>0</v>
      </c>
      <c r="J65" s="96" t="e">
        <f t="shared" ref="J65:J79" si="20">I65/$I$81</f>
        <v>#DIV/0!</v>
      </c>
      <c r="L65" s="78"/>
    </row>
    <row r="66" spans="1:12" s="6" customFormat="1" ht="38.25" x14ac:dyDescent="0.2">
      <c r="A66" s="97" t="s">
        <v>119</v>
      </c>
      <c r="B66" s="86">
        <v>101849</v>
      </c>
      <c r="C66" s="11" t="s">
        <v>16</v>
      </c>
      <c r="D66" s="11" t="s">
        <v>85</v>
      </c>
      <c r="E66" s="12" t="s">
        <v>84</v>
      </c>
      <c r="F66" s="76">
        <v>6.74</v>
      </c>
      <c r="G66" s="17"/>
      <c r="H66" s="9">
        <f t="shared" si="17"/>
        <v>0</v>
      </c>
      <c r="I66" s="9">
        <f t="shared" si="18"/>
        <v>0</v>
      </c>
      <c r="J66" s="96" t="e">
        <f t="shared" si="20"/>
        <v>#DIV/0!</v>
      </c>
      <c r="L66" s="78"/>
    </row>
    <row r="67" spans="1:12" s="6" customFormat="1" ht="25.5" x14ac:dyDescent="0.2">
      <c r="A67" s="97" t="s">
        <v>120</v>
      </c>
      <c r="B67" s="86">
        <v>95875</v>
      </c>
      <c r="C67" s="11" t="s">
        <v>16</v>
      </c>
      <c r="D67" s="11" t="s">
        <v>88</v>
      </c>
      <c r="E67" s="12" t="s">
        <v>83</v>
      </c>
      <c r="F67" s="76">
        <f>F66*1.3*30</f>
        <v>262.86</v>
      </c>
      <c r="G67" s="17"/>
      <c r="H67" s="9">
        <f t="shared" si="17"/>
        <v>0</v>
      </c>
      <c r="I67" s="9">
        <f t="shared" si="18"/>
        <v>0</v>
      </c>
      <c r="J67" s="96" t="e">
        <f t="shared" si="20"/>
        <v>#DIV/0!</v>
      </c>
      <c r="L67" s="78"/>
    </row>
    <row r="68" spans="1:12" s="6" customFormat="1" ht="25.5" x14ac:dyDescent="0.2">
      <c r="A68" s="97" t="s">
        <v>121</v>
      </c>
      <c r="B68" s="86">
        <v>102098</v>
      </c>
      <c r="C68" s="11" t="s">
        <v>16</v>
      </c>
      <c r="D68" s="11" t="s">
        <v>126</v>
      </c>
      <c r="E68" s="12" t="s">
        <v>84</v>
      </c>
      <c r="F68" s="76">
        <v>1.8</v>
      </c>
      <c r="G68" s="17"/>
      <c r="H68" s="9">
        <f t="shared" si="17"/>
        <v>0</v>
      </c>
      <c r="I68" s="9">
        <f t="shared" ref="I68:I70" si="21">ROUND(H68*F68,2)</f>
        <v>0</v>
      </c>
      <c r="J68" s="96" t="e">
        <f t="shared" si="20"/>
        <v>#DIV/0!</v>
      </c>
      <c r="L68" s="78"/>
    </row>
    <row r="69" spans="1:12" s="20" customFormat="1" ht="25.5" x14ac:dyDescent="0.2">
      <c r="A69" s="97" t="s">
        <v>122</v>
      </c>
      <c r="B69" s="86">
        <v>95875</v>
      </c>
      <c r="C69" s="11" t="s">
        <v>16</v>
      </c>
      <c r="D69" s="11" t="s">
        <v>87</v>
      </c>
      <c r="E69" s="12" t="s">
        <v>83</v>
      </c>
      <c r="F69" s="76">
        <f>F68*1.3*30</f>
        <v>70.2</v>
      </c>
      <c r="G69" s="17"/>
      <c r="H69" s="9">
        <f t="shared" ref="H69" si="22">ROUND(G69+(G69*$H$2),2)</f>
        <v>0</v>
      </c>
      <c r="I69" s="9">
        <f t="shared" ref="I69" si="23">ROUND(H69*F69,2)</f>
        <v>0</v>
      </c>
      <c r="J69" s="96" t="e">
        <f t="shared" si="20"/>
        <v>#DIV/0!</v>
      </c>
      <c r="L69" s="78"/>
    </row>
    <row r="70" spans="1:12" s="6" customFormat="1" x14ac:dyDescent="0.2">
      <c r="A70" s="97" t="s">
        <v>140</v>
      </c>
      <c r="B70" s="86">
        <v>98504</v>
      </c>
      <c r="C70" s="11" t="s">
        <v>16</v>
      </c>
      <c r="D70" s="11" t="s">
        <v>139</v>
      </c>
      <c r="E70" s="12" t="s">
        <v>19</v>
      </c>
      <c r="F70" s="76">
        <v>360</v>
      </c>
      <c r="G70" s="17"/>
      <c r="H70" s="9">
        <f t="shared" si="17"/>
        <v>0</v>
      </c>
      <c r="I70" s="9">
        <f t="shared" si="21"/>
        <v>0</v>
      </c>
      <c r="J70" s="96" t="e">
        <f t="shared" si="20"/>
        <v>#DIV/0!</v>
      </c>
      <c r="L70" s="78"/>
    </row>
    <row r="71" spans="1:12" s="57" customFormat="1" ht="30" customHeight="1" x14ac:dyDescent="0.2">
      <c r="A71" s="98">
        <v>12</v>
      </c>
      <c r="B71" s="99"/>
      <c r="C71" s="99"/>
      <c r="D71" s="99" t="s">
        <v>187</v>
      </c>
      <c r="E71" s="99"/>
      <c r="F71" s="77"/>
      <c r="G71" s="14"/>
      <c r="H71" s="100"/>
      <c r="I71" s="101">
        <f>SUM(I72:I79)</f>
        <v>0</v>
      </c>
      <c r="J71" s="102" t="e">
        <f t="shared" si="20"/>
        <v>#DIV/0!</v>
      </c>
      <c r="L71" s="78"/>
    </row>
    <row r="72" spans="1:12" s="57" customFormat="1" ht="38.25" x14ac:dyDescent="0.2">
      <c r="A72" s="97" t="s">
        <v>198</v>
      </c>
      <c r="B72" s="86" t="s">
        <v>21</v>
      </c>
      <c r="C72" s="11" t="s">
        <v>16</v>
      </c>
      <c r="D72" s="11" t="s">
        <v>22</v>
      </c>
      <c r="E72" s="87" t="s">
        <v>19</v>
      </c>
      <c r="F72" s="76">
        <v>655.8</v>
      </c>
      <c r="G72" s="17"/>
      <c r="H72" s="9">
        <f t="shared" ref="H72:H79" si="24">ROUND(G72+(G72*$H$2),2)</f>
        <v>0</v>
      </c>
      <c r="I72" s="9">
        <f>ROUND(H72*F72,2)</f>
        <v>0</v>
      </c>
      <c r="J72" s="96" t="e">
        <f t="shared" si="20"/>
        <v>#DIV/0!</v>
      </c>
      <c r="L72" s="78"/>
    </row>
    <row r="73" spans="1:12" s="57" customFormat="1" ht="63.75" x14ac:dyDescent="0.2">
      <c r="A73" s="97" t="s">
        <v>199</v>
      </c>
      <c r="B73" s="86">
        <v>90105</v>
      </c>
      <c r="C73" s="11" t="s">
        <v>16</v>
      </c>
      <c r="D73" s="11" t="s">
        <v>190</v>
      </c>
      <c r="E73" s="87" t="s">
        <v>24</v>
      </c>
      <c r="F73" s="76">
        <v>95.26</v>
      </c>
      <c r="G73" s="17"/>
      <c r="H73" s="9">
        <f t="shared" si="24"/>
        <v>0</v>
      </c>
      <c r="I73" s="9">
        <f t="shared" ref="I73" si="25">ROUND(H73*F73,2)</f>
        <v>0</v>
      </c>
      <c r="J73" s="96" t="e">
        <f t="shared" si="20"/>
        <v>#DIV/0!</v>
      </c>
      <c r="L73" s="78"/>
    </row>
    <row r="74" spans="1:12" s="57" customFormat="1" ht="25.5" x14ac:dyDescent="0.2">
      <c r="A74" s="97" t="s">
        <v>200</v>
      </c>
      <c r="B74" s="86">
        <v>101124</v>
      </c>
      <c r="C74" s="11" t="s">
        <v>16</v>
      </c>
      <c r="D74" s="11" t="s">
        <v>191</v>
      </c>
      <c r="E74" s="87" t="s">
        <v>24</v>
      </c>
      <c r="F74" s="76">
        <v>226.42</v>
      </c>
      <c r="G74" s="17"/>
      <c r="H74" s="9">
        <f t="shared" si="24"/>
        <v>0</v>
      </c>
      <c r="I74" s="9">
        <f>ROUND(H74*F74,2)</f>
        <v>0</v>
      </c>
      <c r="J74" s="96" t="e">
        <f t="shared" si="20"/>
        <v>#DIV/0!</v>
      </c>
      <c r="L74" s="78"/>
    </row>
    <row r="75" spans="1:12" s="57" customFormat="1" ht="25.5" x14ac:dyDescent="0.2">
      <c r="A75" s="97" t="s">
        <v>201</v>
      </c>
      <c r="B75" s="86" t="s">
        <v>25</v>
      </c>
      <c r="C75" s="11" t="s">
        <v>16</v>
      </c>
      <c r="D75" s="11" t="s">
        <v>192</v>
      </c>
      <c r="E75" s="87" t="s">
        <v>26</v>
      </c>
      <c r="F75" s="76">
        <f>2943.46+F79*0.4^2*PI()/4</f>
        <v>2946.3452386930571</v>
      </c>
      <c r="G75" s="17"/>
      <c r="H75" s="9">
        <f t="shared" si="24"/>
        <v>0</v>
      </c>
      <c r="I75" s="9">
        <f>ROUND(H75*F75,2)</f>
        <v>0</v>
      </c>
      <c r="J75" s="96" t="e">
        <f t="shared" si="20"/>
        <v>#DIV/0!</v>
      </c>
      <c r="L75" s="78"/>
    </row>
    <row r="76" spans="1:12" s="57" customFormat="1" ht="38.25" x14ac:dyDescent="0.2">
      <c r="A76" s="97" t="s">
        <v>202</v>
      </c>
      <c r="B76" s="86">
        <v>101124</v>
      </c>
      <c r="C76" s="11" t="s">
        <v>16</v>
      </c>
      <c r="D76" s="11" t="s">
        <v>193</v>
      </c>
      <c r="E76" s="87" t="s">
        <v>24</v>
      </c>
      <c r="F76" s="76">
        <v>95.26</v>
      </c>
      <c r="G76" s="17"/>
      <c r="H76" s="9">
        <f t="shared" si="24"/>
        <v>0</v>
      </c>
      <c r="I76" s="9">
        <f>ROUND(H76*F76,2)</f>
        <v>0</v>
      </c>
      <c r="J76" s="96" t="e">
        <f t="shared" si="20"/>
        <v>#DIV/0!</v>
      </c>
      <c r="L76" s="78"/>
    </row>
    <row r="77" spans="1:12" s="57" customFormat="1" ht="38.25" x14ac:dyDescent="0.2">
      <c r="A77" s="97" t="s">
        <v>203</v>
      </c>
      <c r="B77" s="86" t="s">
        <v>25</v>
      </c>
      <c r="C77" s="11" t="s">
        <v>16</v>
      </c>
      <c r="D77" s="11" t="s">
        <v>194</v>
      </c>
      <c r="E77" s="87" t="s">
        <v>26</v>
      </c>
      <c r="F77" s="76">
        <v>1238.3800000000001</v>
      </c>
      <c r="G77" s="17"/>
      <c r="H77" s="9">
        <f t="shared" si="24"/>
        <v>0</v>
      </c>
      <c r="I77" s="9">
        <f>ROUND(H77*F77,2)</f>
        <v>0</v>
      </c>
      <c r="J77" s="96" t="e">
        <f t="shared" si="20"/>
        <v>#DIV/0!</v>
      </c>
      <c r="L77" s="78"/>
    </row>
    <row r="78" spans="1:12" s="75" customFormat="1" ht="25.5" x14ac:dyDescent="0.2">
      <c r="A78" s="97" t="s">
        <v>204</v>
      </c>
      <c r="B78" s="86">
        <v>104740</v>
      </c>
      <c r="C78" s="11" t="s">
        <v>16</v>
      </c>
      <c r="D78" s="11" t="s">
        <v>189</v>
      </c>
      <c r="E78" s="87" t="s">
        <v>24</v>
      </c>
      <c r="F78" s="76">
        <v>95.26</v>
      </c>
      <c r="G78" s="17"/>
      <c r="H78" s="9">
        <f t="shared" si="24"/>
        <v>0</v>
      </c>
      <c r="I78" s="9">
        <f t="shared" ref="I78:I79" si="26">ROUND(H78*F78,2)</f>
        <v>0</v>
      </c>
      <c r="J78" s="96" t="e">
        <f t="shared" si="20"/>
        <v>#DIV/0!</v>
      </c>
      <c r="L78" s="78"/>
    </row>
    <row r="79" spans="1:12" s="57" customFormat="1" ht="25.5" x14ac:dyDescent="0.2">
      <c r="A79" s="97" t="s">
        <v>205</v>
      </c>
      <c r="B79" s="111" t="s">
        <v>197</v>
      </c>
      <c r="C79" s="112" t="s">
        <v>16</v>
      </c>
      <c r="D79" s="112" t="s">
        <v>206</v>
      </c>
      <c r="E79" s="113" t="s">
        <v>30</v>
      </c>
      <c r="F79" s="114">
        <v>22.96</v>
      </c>
      <c r="G79" s="115"/>
      <c r="H79" s="115">
        <f t="shared" si="24"/>
        <v>0</v>
      </c>
      <c r="I79" s="115">
        <f t="shared" si="26"/>
        <v>0</v>
      </c>
      <c r="J79" s="116" t="e">
        <f t="shared" si="20"/>
        <v>#DIV/0!</v>
      </c>
      <c r="L79" s="78"/>
    </row>
    <row r="80" spans="1:12" x14ac:dyDescent="0.2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s="78" customFormat="1" ht="30" customHeight="1" x14ac:dyDescent="0.2">
      <c r="A81" s="109"/>
      <c r="B81" s="110"/>
      <c r="C81" s="110"/>
      <c r="D81" s="110"/>
      <c r="E81" s="110"/>
      <c r="F81" s="110"/>
      <c r="G81" s="134" t="s">
        <v>207</v>
      </c>
      <c r="H81" s="134"/>
      <c r="I81" s="132">
        <f>I5+I8+I14+I17+I24+I26+I33+I37+I40+I56+I43+I71</f>
        <v>0</v>
      </c>
      <c r="J81" s="133"/>
    </row>
    <row r="82" spans="1:10" x14ac:dyDescent="0.2">
      <c r="A82" s="3"/>
      <c r="B82" s="3"/>
      <c r="C82" s="3"/>
      <c r="D82" s="3"/>
      <c r="E82" s="3"/>
      <c r="F82" s="3"/>
      <c r="G82" s="3"/>
      <c r="H82" s="3"/>
      <c r="I82" s="3"/>
      <c r="J82" s="80"/>
    </row>
    <row r="83" spans="1:10" x14ac:dyDescent="0.2">
      <c r="A83" s="128" t="s">
        <v>225</v>
      </c>
      <c r="B83" s="129"/>
      <c r="C83" s="129"/>
      <c r="D83" s="129"/>
      <c r="E83" s="129"/>
      <c r="F83" s="129"/>
      <c r="G83" s="129"/>
      <c r="H83" s="129"/>
      <c r="I83" s="129"/>
      <c r="J83" s="129"/>
    </row>
  </sheetData>
  <mergeCells count="9">
    <mergeCell ref="I1:J1"/>
    <mergeCell ref="I2:J2"/>
    <mergeCell ref="E1:G1"/>
    <mergeCell ref="E2:G2"/>
    <mergeCell ref="A83:J83"/>
    <mergeCell ref="A3:J3"/>
    <mergeCell ref="I81:J81"/>
    <mergeCell ref="G81:H81"/>
    <mergeCell ref="A32:J32"/>
  </mergeCells>
  <hyperlinks>
    <hyperlink ref="B48" r:id="rId1" display="https://app.orcafascio.com/banco/sinapi/composicoes/637e3d7ee64d1e5aaa35b33f?estado_sinapi=SP"/>
    <hyperlink ref="B7" r:id="rId2" display="https://app.orcafascio.com/banco/cpos/composicoes/64230911e64d1e4e072386ee"/>
  </hyperlinks>
  <printOptions horizontalCentered="1"/>
  <pageMargins left="0.59055118110236227" right="0.59055118110236227" top="0.98425196850393704" bottom="0.39370078740157483" header="0.51181102362204722" footer="0.51181102362204722"/>
  <pageSetup paperSize="9" scale="73" fitToHeight="0" orientation="landscape" r:id="rId3"/>
  <headerFooter>
    <oddFooter>Página &amp;P de 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view="pageBreakPreview" topLeftCell="A7" zoomScaleNormal="100" zoomScaleSheetLayoutView="100" workbookViewId="0">
      <selection activeCell="H6" sqref="H6"/>
    </sheetView>
  </sheetViews>
  <sheetFormatPr defaultRowHeight="14.25" x14ac:dyDescent="0.2"/>
  <cols>
    <col min="2" max="2" width="46.375" bestFit="1" customWidth="1"/>
    <col min="3" max="3" width="13.375" customWidth="1"/>
    <col min="4" max="4" width="13.375" bestFit="1" customWidth="1"/>
    <col min="5" max="7" width="14.75" bestFit="1" customWidth="1"/>
    <col min="8" max="8" width="17.125" bestFit="1" customWidth="1"/>
    <col min="10" max="10" width="4" customWidth="1"/>
  </cols>
  <sheetData>
    <row r="1" spans="1:11" ht="105.75" customHeight="1" thickBot="1" x14ac:dyDescent="0.25">
      <c r="A1" s="58"/>
      <c r="B1" s="138" t="s">
        <v>175</v>
      </c>
      <c r="C1" s="139"/>
      <c r="D1" s="139"/>
      <c r="E1" s="139"/>
      <c r="F1" s="139"/>
      <c r="G1" s="139"/>
      <c r="H1" s="139"/>
      <c r="I1" s="139"/>
    </row>
    <row r="2" spans="1:11" ht="12.75" customHeight="1" x14ac:dyDescent="0.2">
      <c r="A2" s="145"/>
      <c r="B2" s="145"/>
      <c r="C2" s="145"/>
      <c r="D2" s="145"/>
      <c r="E2" s="145"/>
      <c r="F2" s="145"/>
      <c r="G2" s="145"/>
      <c r="H2" s="145"/>
      <c r="I2" s="145"/>
    </row>
    <row r="3" spans="1:11" x14ac:dyDescent="0.2">
      <c r="A3" s="146" t="s">
        <v>196</v>
      </c>
      <c r="B3" s="146"/>
      <c r="C3" s="146"/>
      <c r="D3" s="146"/>
      <c r="E3" s="146"/>
      <c r="F3" s="146"/>
      <c r="G3" s="146"/>
      <c r="H3" s="147" t="s">
        <v>176</v>
      </c>
      <c r="I3" s="147" t="s">
        <v>177</v>
      </c>
    </row>
    <row r="4" spans="1:11" ht="22.5" customHeight="1" x14ac:dyDescent="0.2">
      <c r="A4" s="146"/>
      <c r="B4" s="146"/>
      <c r="C4" s="146"/>
      <c r="D4" s="146"/>
      <c r="E4" s="146"/>
      <c r="F4" s="146"/>
      <c r="G4" s="146"/>
      <c r="H4" s="148"/>
      <c r="I4" s="148"/>
    </row>
    <row r="5" spans="1:11" ht="24" customHeight="1" x14ac:dyDescent="0.2">
      <c r="A5" s="146"/>
      <c r="B5" s="146"/>
      <c r="C5" s="146"/>
      <c r="D5" s="146"/>
      <c r="E5" s="146"/>
      <c r="F5" s="146"/>
      <c r="G5" s="146"/>
      <c r="H5" s="84">
        <v>45383</v>
      </c>
      <c r="I5" s="85" t="s">
        <v>223</v>
      </c>
    </row>
    <row r="6" spans="1:11" x14ac:dyDescent="0.2">
      <c r="A6" s="59"/>
      <c r="B6" s="60"/>
      <c r="C6" s="60"/>
      <c r="D6" s="60"/>
      <c r="E6" s="60"/>
      <c r="F6" s="60"/>
      <c r="G6" s="60"/>
      <c r="H6" s="60"/>
      <c r="I6" s="60"/>
    </row>
    <row r="7" spans="1:11" x14ac:dyDescent="0.2">
      <c r="A7" s="140" t="s">
        <v>5</v>
      </c>
      <c r="B7" s="140" t="s">
        <v>8</v>
      </c>
      <c r="C7" s="142" t="s">
        <v>178</v>
      </c>
      <c r="D7" s="142"/>
      <c r="E7" s="142"/>
      <c r="F7" s="142"/>
      <c r="G7" s="142"/>
      <c r="H7" s="140" t="s">
        <v>179</v>
      </c>
      <c r="I7" s="143" t="s">
        <v>149</v>
      </c>
    </row>
    <row r="8" spans="1:11" x14ac:dyDescent="0.2">
      <c r="A8" s="141"/>
      <c r="B8" s="141"/>
      <c r="C8" s="83" t="s">
        <v>180</v>
      </c>
      <c r="D8" s="83" t="s">
        <v>181</v>
      </c>
      <c r="E8" s="83" t="s">
        <v>182</v>
      </c>
      <c r="F8" s="83" t="s">
        <v>183</v>
      </c>
      <c r="G8" s="83" t="s">
        <v>184</v>
      </c>
      <c r="H8" s="141"/>
      <c r="I8" s="144"/>
    </row>
    <row r="9" spans="1:11" x14ac:dyDescent="0.2">
      <c r="A9" s="149">
        <v>1</v>
      </c>
      <c r="B9" s="151" t="str">
        <f>VLOOKUP(A9,PLANILHA,4,1)</f>
        <v>CANTEIRO DE OBRAS</v>
      </c>
      <c r="C9" s="62">
        <f>IF(C10="","",C10*$H$9)</f>
        <v>0</v>
      </c>
      <c r="D9" s="62">
        <f>IF(D10="","",D10*$H$9)</f>
        <v>0</v>
      </c>
      <c r="E9" s="62">
        <f>IF(E10="","",E10*$H$9)</f>
        <v>0</v>
      </c>
      <c r="F9" s="62">
        <f>IF(F10="","",F10*$H$9)</f>
        <v>0</v>
      </c>
      <c r="G9" s="62">
        <f>IF(G10="","",G10*$H$9)</f>
        <v>0</v>
      </c>
      <c r="H9" s="153">
        <f>VLOOKUP(A9,PLANILHA,9,1)</f>
        <v>0</v>
      </c>
      <c r="I9" s="155" t="e">
        <f>H9/$H$34</f>
        <v>#DIV/0!</v>
      </c>
      <c r="K9" s="70"/>
    </row>
    <row r="10" spans="1:11" x14ac:dyDescent="0.2">
      <c r="A10" s="150"/>
      <c r="B10" s="152"/>
      <c r="C10" s="63">
        <v>0.6</v>
      </c>
      <c r="D10" s="63">
        <v>0.1</v>
      </c>
      <c r="E10" s="63">
        <v>0.1</v>
      </c>
      <c r="F10" s="63">
        <v>0.1</v>
      </c>
      <c r="G10" s="63">
        <v>0.1</v>
      </c>
      <c r="H10" s="154"/>
      <c r="I10" s="156"/>
      <c r="K10" s="70" t="str">
        <f>IF(SUM(B10:G10)=100%,"Ok","Revisar percentuais")</f>
        <v>Ok</v>
      </c>
    </row>
    <row r="11" spans="1:11" x14ac:dyDescent="0.2">
      <c r="A11" s="149">
        <v>2</v>
      </c>
      <c r="B11" s="151" t="str">
        <f>VLOOKUP(A11,PLANILHA,4,1)</f>
        <v>SERVIÇOS PRELIMINARES</v>
      </c>
      <c r="C11" s="62">
        <f>IF(C12="","",C12*$H11)</f>
        <v>0</v>
      </c>
      <c r="D11" s="62">
        <f>IF(D12="","",D12*$H11)</f>
        <v>0</v>
      </c>
      <c r="E11" s="62">
        <f>IF(E12="","",E12*$H11)</f>
        <v>0</v>
      </c>
      <c r="F11" s="62">
        <f>IF(F12="","",F12*$H11)</f>
        <v>0</v>
      </c>
      <c r="G11" s="62" t="str">
        <f>IF(G12="","",G12*$H11)</f>
        <v/>
      </c>
      <c r="H11" s="153">
        <f>VLOOKUP(A11,PLANILHA,9,1)</f>
        <v>0</v>
      </c>
      <c r="I11" s="155" t="e">
        <f t="shared" ref="I11" si="0">H11/$H$34</f>
        <v>#DIV/0!</v>
      </c>
      <c r="K11" s="70"/>
    </row>
    <row r="12" spans="1:11" x14ac:dyDescent="0.2">
      <c r="A12" s="150"/>
      <c r="B12" s="152"/>
      <c r="C12" s="63">
        <v>0.6</v>
      </c>
      <c r="D12" s="63">
        <v>0.2</v>
      </c>
      <c r="E12" s="63">
        <v>0.1</v>
      </c>
      <c r="F12" s="63">
        <v>0.1</v>
      </c>
      <c r="G12" s="63"/>
      <c r="H12" s="154"/>
      <c r="I12" s="156"/>
      <c r="K12" s="70" t="str">
        <f>IF(SUM(B12:G12)=100%,"Ok","Revisar percentuais")</f>
        <v>Ok</v>
      </c>
    </row>
    <row r="13" spans="1:11" x14ac:dyDescent="0.2">
      <c r="A13" s="149">
        <v>3</v>
      </c>
      <c r="B13" s="151" t="str">
        <f>VLOOKUP(A13,PLANILHA,4,1)</f>
        <v>SERVIÇOS TÉCNICOS</v>
      </c>
      <c r="C13" s="62">
        <f>IF(C14="","",C14*$H13)</f>
        <v>0</v>
      </c>
      <c r="D13" s="62">
        <f>IF(D14="","",D14*$H13)</f>
        <v>0</v>
      </c>
      <c r="E13" s="62">
        <f>IF(E14="","",E14*$H13)</f>
        <v>0</v>
      </c>
      <c r="F13" s="62">
        <f>IF(F14="","",F14*$H13)</f>
        <v>0</v>
      </c>
      <c r="G13" s="62">
        <f>IF(G14="","",G14*$H13)</f>
        <v>0</v>
      </c>
      <c r="H13" s="153">
        <f>VLOOKUP(A13,PLANILHA,9,1)</f>
        <v>0</v>
      </c>
      <c r="I13" s="155" t="e">
        <f t="shared" ref="I13" si="1">H13/$H$34</f>
        <v>#DIV/0!</v>
      </c>
      <c r="K13" s="70"/>
    </row>
    <row r="14" spans="1:11" x14ac:dyDescent="0.2">
      <c r="A14" s="150"/>
      <c r="B14" s="152"/>
      <c r="C14" s="63">
        <v>0.2</v>
      </c>
      <c r="D14" s="63">
        <v>0.2</v>
      </c>
      <c r="E14" s="63">
        <v>0.2</v>
      </c>
      <c r="F14" s="63">
        <v>0.2</v>
      </c>
      <c r="G14" s="63">
        <v>0.2</v>
      </c>
      <c r="H14" s="154"/>
      <c r="I14" s="156"/>
      <c r="K14" s="70" t="str">
        <f>IF(SUM(B14:G14)=100%,"Ok","Revisar percentuais")</f>
        <v>Ok</v>
      </c>
    </row>
    <row r="15" spans="1:11" x14ac:dyDescent="0.2">
      <c r="A15" s="149">
        <v>4</v>
      </c>
      <c r="B15" s="151" t="str">
        <f>VLOOKUP(A15,PLANILHA,4,1)</f>
        <v>ESCAVAÇÃO DE VALA</v>
      </c>
      <c r="C15" s="62">
        <f>IF(C16="","",C16*$H15)</f>
        <v>0</v>
      </c>
      <c r="D15" s="62">
        <f>IF(D16="","",D16*$H15)</f>
        <v>0</v>
      </c>
      <c r="E15" s="62">
        <f>IF(E16="","",E16*$H15)</f>
        <v>0</v>
      </c>
      <c r="F15" s="62">
        <f>IF(F16="","",F16*$H15)</f>
        <v>0</v>
      </c>
      <c r="G15" s="62">
        <f>IF(G16="","",G16*$H15)</f>
        <v>0</v>
      </c>
      <c r="H15" s="153">
        <f>VLOOKUP(A15,PLANILHA,9,1)</f>
        <v>0</v>
      </c>
      <c r="I15" s="155" t="e">
        <f t="shared" ref="I15" si="2">H15/$H$34</f>
        <v>#DIV/0!</v>
      </c>
      <c r="K15" s="70"/>
    </row>
    <row r="16" spans="1:11" x14ac:dyDescent="0.2">
      <c r="A16" s="150"/>
      <c r="B16" s="152"/>
      <c r="C16" s="63">
        <v>0.2</v>
      </c>
      <c r="D16" s="63">
        <v>0.2</v>
      </c>
      <c r="E16" s="63">
        <v>0.2</v>
      </c>
      <c r="F16" s="63">
        <v>0.2</v>
      </c>
      <c r="G16" s="63">
        <v>0.2</v>
      </c>
      <c r="H16" s="154"/>
      <c r="I16" s="156"/>
      <c r="K16" s="70" t="str">
        <f>IF(SUM(B16:G16)=100%,"Ok","Revisar percentuais")</f>
        <v>Ok</v>
      </c>
    </row>
    <row r="17" spans="1:11" x14ac:dyDescent="0.2">
      <c r="A17" s="149">
        <v>5</v>
      </c>
      <c r="B17" s="151" t="str">
        <f>VLOOKUP(A17,PLANILHA,4,1)</f>
        <v>ESCORAMENTO DE VALA</v>
      </c>
      <c r="C17" s="62">
        <f>IF(C18="","",C18*$H17)</f>
        <v>0</v>
      </c>
      <c r="D17" s="62">
        <f>IF(D18="","",D18*$H17)</f>
        <v>0</v>
      </c>
      <c r="E17" s="62">
        <f>IF(E18="","",E18*$H17)</f>
        <v>0</v>
      </c>
      <c r="F17" s="62">
        <f>IF(F18="","",F18*$H17)</f>
        <v>0</v>
      </c>
      <c r="G17" s="62">
        <f>IF(G18="","",G18*$H17)</f>
        <v>0</v>
      </c>
      <c r="H17" s="153">
        <f>VLOOKUP(A17,PLANILHA,9,1)</f>
        <v>0</v>
      </c>
      <c r="I17" s="155" t="e">
        <f t="shared" ref="I17" si="3">H17/$H$34</f>
        <v>#DIV/0!</v>
      </c>
      <c r="K17" s="70"/>
    </row>
    <row r="18" spans="1:11" x14ac:dyDescent="0.2">
      <c r="A18" s="150"/>
      <c r="B18" s="152"/>
      <c r="C18" s="63">
        <v>0.2</v>
      </c>
      <c r="D18" s="63">
        <v>0.2</v>
      </c>
      <c r="E18" s="63">
        <v>0.2</v>
      </c>
      <c r="F18" s="63">
        <v>0.2</v>
      </c>
      <c r="G18" s="63">
        <v>0.2</v>
      </c>
      <c r="H18" s="154"/>
      <c r="I18" s="156"/>
      <c r="K18" s="70" t="str">
        <f>IF(SUM(B18:G18)=100%,"Ok","Revisar percentuais")</f>
        <v>Ok</v>
      </c>
    </row>
    <row r="19" spans="1:11" x14ac:dyDescent="0.2">
      <c r="A19" s="149">
        <v>6</v>
      </c>
      <c r="B19" s="151" t="str">
        <f>VLOOKUP(A19,PLANILHA,4,1)</f>
        <v>FORNECIMENTO E ASSENTAMENTO DE TUBOS</v>
      </c>
      <c r="C19" s="62">
        <f>IF(C20="","",C20*$H19)</f>
        <v>0</v>
      </c>
      <c r="D19" s="62">
        <f>IF(D20="","",D20*$H19)</f>
        <v>0</v>
      </c>
      <c r="E19" s="62">
        <f>IF(E20="","",E20*$H19)</f>
        <v>0</v>
      </c>
      <c r="F19" s="62">
        <f>IF(F20="","",F20*$H19)</f>
        <v>0</v>
      </c>
      <c r="G19" s="62">
        <f>IF(G20="","",G20*$H19)</f>
        <v>0</v>
      </c>
      <c r="H19" s="153">
        <f>VLOOKUP(A19,PLANILHA,9,1)</f>
        <v>0</v>
      </c>
      <c r="I19" s="155" t="e">
        <f t="shared" ref="I19" si="4">H19/$H$34</f>
        <v>#DIV/0!</v>
      </c>
      <c r="K19" s="70"/>
    </row>
    <row r="20" spans="1:11" x14ac:dyDescent="0.2">
      <c r="A20" s="150"/>
      <c r="B20" s="152"/>
      <c r="C20" s="63">
        <v>0.2</v>
      </c>
      <c r="D20" s="63">
        <v>0.2</v>
      </c>
      <c r="E20" s="63">
        <v>0.2</v>
      </c>
      <c r="F20" s="63">
        <v>0.2</v>
      </c>
      <c r="G20" s="63">
        <v>0.2</v>
      </c>
      <c r="H20" s="154"/>
      <c r="I20" s="156"/>
      <c r="K20" s="70" t="str">
        <f>IF(SUM(B20:G20)=100%,"Ok","Revisar percentuais")</f>
        <v>Ok</v>
      </c>
    </row>
    <row r="21" spans="1:11" x14ac:dyDescent="0.2">
      <c r="A21" s="149">
        <v>7</v>
      </c>
      <c r="B21" s="151" t="str">
        <f>VLOOKUP(A21,PLANILHA,4,1)</f>
        <v>POÇOS DE VISITA</v>
      </c>
      <c r="C21" s="62">
        <f>IF(C22="","",C22*$H21)</f>
        <v>0</v>
      </c>
      <c r="D21" s="62">
        <f>IF(D22="","",D22*$H21)</f>
        <v>0</v>
      </c>
      <c r="E21" s="62">
        <f>IF(E22="","",E22*$H21)</f>
        <v>0</v>
      </c>
      <c r="F21" s="62">
        <f>IF(F22="","",F22*$H21)</f>
        <v>0</v>
      </c>
      <c r="G21" s="62">
        <f>IF(G22="","",G22*$H21)</f>
        <v>0</v>
      </c>
      <c r="H21" s="153">
        <f>VLOOKUP(A21,PLANILHA,9,1)</f>
        <v>0</v>
      </c>
      <c r="I21" s="155" t="e">
        <f t="shared" ref="I21" si="5">H21/$H$34</f>
        <v>#DIV/0!</v>
      </c>
      <c r="K21" s="70"/>
    </row>
    <row r="22" spans="1:11" x14ac:dyDescent="0.2">
      <c r="A22" s="150"/>
      <c r="B22" s="152"/>
      <c r="C22" s="63">
        <v>0.2</v>
      </c>
      <c r="D22" s="63">
        <v>0.2</v>
      </c>
      <c r="E22" s="63">
        <v>0.3</v>
      </c>
      <c r="F22" s="63">
        <v>0.2</v>
      </c>
      <c r="G22" s="63">
        <v>0.1</v>
      </c>
      <c r="H22" s="154"/>
      <c r="I22" s="156"/>
      <c r="K22" s="70" t="str">
        <f>IF(SUM(B22:G22)=100%,"Ok","Revisar percentuais")</f>
        <v>Ok</v>
      </c>
    </row>
    <row r="23" spans="1:11" x14ac:dyDescent="0.2">
      <c r="A23" s="149">
        <v>8</v>
      </c>
      <c r="B23" s="151" t="str">
        <f>VLOOKUP(A23,PLANILHA,4,1)</f>
        <v>REATERRO DE VALA</v>
      </c>
      <c r="C23" s="62">
        <f>IF(C24="","",C24*$H23)</f>
        <v>0</v>
      </c>
      <c r="D23" s="62">
        <f>IF(D24="","",D24*$H23)</f>
        <v>0</v>
      </c>
      <c r="E23" s="62">
        <f>IF(E24="","",E24*$H23)</f>
        <v>0</v>
      </c>
      <c r="F23" s="62">
        <f>IF(F24="","",F24*$H23)</f>
        <v>0</v>
      </c>
      <c r="G23" s="62">
        <f>IF(G24="","",G24*$H23)</f>
        <v>0</v>
      </c>
      <c r="H23" s="153">
        <f>VLOOKUP(A23,PLANILHA,9,1)</f>
        <v>0</v>
      </c>
      <c r="I23" s="155" t="e">
        <f t="shared" ref="I23" si="6">H23/$H$34</f>
        <v>#DIV/0!</v>
      </c>
      <c r="K23" s="70"/>
    </row>
    <row r="24" spans="1:11" x14ac:dyDescent="0.2">
      <c r="A24" s="150"/>
      <c r="B24" s="152"/>
      <c r="C24" s="63">
        <v>0.2</v>
      </c>
      <c r="D24" s="63">
        <v>0.2</v>
      </c>
      <c r="E24" s="63">
        <v>0.2</v>
      </c>
      <c r="F24" s="63">
        <v>0.2</v>
      </c>
      <c r="G24" s="63">
        <v>0.2</v>
      </c>
      <c r="H24" s="154"/>
      <c r="I24" s="156"/>
      <c r="K24" s="70" t="str">
        <f>IF(SUM(B24:G24)=100%,"Ok","Revisar percentuais")</f>
        <v>Ok</v>
      </c>
    </row>
    <row r="25" spans="1:11" x14ac:dyDescent="0.2">
      <c r="A25" s="149">
        <v>9</v>
      </c>
      <c r="B25" s="151" t="str">
        <f>VLOOKUP(A25,PLANILHA,4,1)</f>
        <v>SOLO DE BOTA FORA</v>
      </c>
      <c r="C25" s="62" t="str">
        <f>IF(C26="","",C26*$H25)</f>
        <v/>
      </c>
      <c r="D25" s="62" t="str">
        <f>IF(D26="","",D26*$H25)</f>
        <v/>
      </c>
      <c r="E25" s="62">
        <f>IF(E26="","",E26*$H25)</f>
        <v>0</v>
      </c>
      <c r="F25" s="62">
        <f>IF(F26="","",F26*$H25)</f>
        <v>0</v>
      </c>
      <c r="G25" s="62">
        <f>IF(G26="","",G26*$H25)</f>
        <v>0</v>
      </c>
      <c r="H25" s="153">
        <f>VLOOKUP(A25,PLANILHA,9,1)</f>
        <v>0</v>
      </c>
      <c r="I25" s="155" t="e">
        <f t="shared" ref="I25" si="7">H25/$H$34</f>
        <v>#DIV/0!</v>
      </c>
      <c r="K25" s="70"/>
    </row>
    <row r="26" spans="1:11" x14ac:dyDescent="0.2">
      <c r="A26" s="150"/>
      <c r="B26" s="152"/>
      <c r="C26" s="63"/>
      <c r="D26" s="63"/>
      <c r="E26" s="63">
        <v>0.2</v>
      </c>
      <c r="F26" s="63">
        <v>0.3</v>
      </c>
      <c r="G26" s="63">
        <v>0.5</v>
      </c>
      <c r="H26" s="154"/>
      <c r="I26" s="156"/>
      <c r="K26" s="70" t="str">
        <f>IF(SUM(B26:G26)=100%,"Ok","Revisar percentuais")</f>
        <v>Ok</v>
      </c>
    </row>
    <row r="27" spans="1:11" s="21" customFormat="1" x14ac:dyDescent="0.2">
      <c r="A27" s="149">
        <v>10</v>
      </c>
      <c r="B27" s="151" t="str">
        <f>VLOOKUP(A27,PLANILHA,4,1)</f>
        <v>TRAVESSIA AÉREA</v>
      </c>
      <c r="C27" s="62">
        <f>IF(C28="","",C28*$H27)</f>
        <v>0</v>
      </c>
      <c r="D27" s="62">
        <f>IF(D28="","",D28*$H27)</f>
        <v>0</v>
      </c>
      <c r="E27" s="62">
        <f>IF(E28="","",E28*$H27)</f>
        <v>0</v>
      </c>
      <c r="F27" s="62">
        <f>IF(F28="","",F28*$H27)</f>
        <v>0</v>
      </c>
      <c r="G27" s="62">
        <f>IF(G28="","",G28*$H27)</f>
        <v>0</v>
      </c>
      <c r="H27" s="153">
        <f>VLOOKUP(A27,PLANILHA,9,1)</f>
        <v>0</v>
      </c>
      <c r="I27" s="155" t="e">
        <f t="shared" ref="I27" si="8">H27/$H$34</f>
        <v>#DIV/0!</v>
      </c>
      <c r="K27" s="70"/>
    </row>
    <row r="28" spans="1:11" s="21" customFormat="1" x14ac:dyDescent="0.2">
      <c r="A28" s="150"/>
      <c r="B28" s="152"/>
      <c r="C28" s="63">
        <v>0.05</v>
      </c>
      <c r="D28" s="63">
        <v>0.05</v>
      </c>
      <c r="E28" s="63">
        <v>0.3</v>
      </c>
      <c r="F28" s="63">
        <v>0.3</v>
      </c>
      <c r="G28" s="63">
        <v>0.3</v>
      </c>
      <c r="H28" s="154"/>
      <c r="I28" s="156"/>
      <c r="K28" s="70" t="str">
        <f>IF(SUM(B28:G28)=100%,"Ok","Revisar percentuais")</f>
        <v>Ok</v>
      </c>
    </row>
    <row r="29" spans="1:11" s="57" customFormat="1" x14ac:dyDescent="0.2">
      <c r="A29" s="149">
        <v>11</v>
      </c>
      <c r="B29" s="151" t="str">
        <f>VLOOKUP(A29,PLANILHA,4,1)</f>
        <v>INTERFERÊNCIAS</v>
      </c>
      <c r="C29" s="62" t="str">
        <f>IF(C30="","",C30*$H29)</f>
        <v/>
      </c>
      <c r="D29" s="62" t="str">
        <f>IF(D30="","",D30*$H29)</f>
        <v/>
      </c>
      <c r="E29" s="62" t="str">
        <f>IF(E30="","",E30*$H29)</f>
        <v/>
      </c>
      <c r="F29" s="62">
        <f>IF(F30="","",F30*$H29)</f>
        <v>0</v>
      </c>
      <c r="G29" s="62">
        <f>IF(G30="","",G30*$H29)</f>
        <v>0</v>
      </c>
      <c r="H29" s="153">
        <f>VLOOKUP(A29,PLANILHA,9,1)</f>
        <v>0</v>
      </c>
      <c r="I29" s="155" t="e">
        <f t="shared" ref="I29" si="9">H29/$H$34</f>
        <v>#DIV/0!</v>
      </c>
      <c r="K29" s="70"/>
    </row>
    <row r="30" spans="1:11" s="57" customFormat="1" x14ac:dyDescent="0.2">
      <c r="A30" s="150"/>
      <c r="B30" s="152"/>
      <c r="C30" s="63"/>
      <c r="D30" s="63"/>
      <c r="E30" s="63"/>
      <c r="F30" s="63">
        <v>0.5</v>
      </c>
      <c r="G30" s="63">
        <v>0.5</v>
      </c>
      <c r="H30" s="154"/>
      <c r="I30" s="156"/>
      <c r="K30" s="70" t="str">
        <f t="shared" ref="K30:K32" si="10">IF(SUM(B30:G30)=100%,"Ok","Revisar percentuais")</f>
        <v>Ok</v>
      </c>
    </row>
    <row r="31" spans="1:11" x14ac:dyDescent="0.2">
      <c r="A31" s="149">
        <v>12</v>
      </c>
      <c r="B31" s="151" t="str">
        <f>VLOOKUP(A31,PLANILHA,4,1)</f>
        <v>REMOÇÃO DE TUBULAÇÃO E PVS DESATIVADOS</v>
      </c>
      <c r="C31" s="62" t="str">
        <f>IF(C32="","",C32*$H31)</f>
        <v/>
      </c>
      <c r="D31" s="62" t="str">
        <f>IF(D32="","",D32*$H31)</f>
        <v/>
      </c>
      <c r="E31" s="62" t="str">
        <f>IF(E32="","",E32*$H31)</f>
        <v/>
      </c>
      <c r="F31" s="62" t="str">
        <f>IF(F32="","",F32*$H31)</f>
        <v/>
      </c>
      <c r="G31" s="62">
        <f>IF(G32="","",G32*$H31)</f>
        <v>0</v>
      </c>
      <c r="H31" s="153">
        <f>VLOOKUP(A31,PLANILHA,9,1)</f>
        <v>0</v>
      </c>
      <c r="I31" s="155" t="e">
        <f t="shared" ref="I31" si="11">H31/$H$34</f>
        <v>#DIV/0!</v>
      </c>
      <c r="K31" s="70"/>
    </row>
    <row r="32" spans="1:11" x14ac:dyDescent="0.2">
      <c r="A32" s="150"/>
      <c r="B32" s="152"/>
      <c r="C32" s="63"/>
      <c r="D32" s="63"/>
      <c r="E32" s="63"/>
      <c r="F32" s="63"/>
      <c r="G32" s="63">
        <v>1</v>
      </c>
      <c r="H32" s="154"/>
      <c r="I32" s="156"/>
      <c r="K32" s="70" t="str">
        <f t="shared" si="10"/>
        <v>Ok</v>
      </c>
    </row>
    <row r="33" spans="1:11" x14ac:dyDescent="0.2">
      <c r="A33" s="59"/>
      <c r="B33" s="64"/>
      <c r="C33" s="65"/>
      <c r="D33" s="65"/>
      <c r="E33" s="65"/>
      <c r="F33" s="65"/>
      <c r="G33" s="65"/>
      <c r="H33" s="66"/>
      <c r="I33" s="67"/>
      <c r="K33" s="70"/>
    </row>
    <row r="34" spans="1:11" x14ac:dyDescent="0.2">
      <c r="A34" s="159" t="s">
        <v>185</v>
      </c>
      <c r="B34" s="159"/>
      <c r="C34" s="81">
        <f>SUM(C9,C11,C13,C15,C17,C19,C21,C23,C25,C27,C29,C31)</f>
        <v>0</v>
      </c>
      <c r="D34" s="81">
        <f t="shared" ref="D34:G34" si="12">SUM(D9,D11,D13,D15,D17,D19,D21,D23,D25,D27,D29,D31)</f>
        <v>0</v>
      </c>
      <c r="E34" s="81">
        <f t="shared" si="12"/>
        <v>0</v>
      </c>
      <c r="F34" s="81">
        <f t="shared" si="12"/>
        <v>0</v>
      </c>
      <c r="G34" s="81">
        <f t="shared" si="12"/>
        <v>0</v>
      </c>
      <c r="H34" s="161">
        <f>SUM(H9:H32)</f>
        <v>0</v>
      </c>
      <c r="I34" s="163" t="e">
        <f>SUM(I9:I32)</f>
        <v>#DIV/0!</v>
      </c>
    </row>
    <row r="35" spans="1:11" x14ac:dyDescent="0.2">
      <c r="A35" s="160"/>
      <c r="B35" s="160"/>
      <c r="C35" s="82" t="e">
        <f>C34/$H$34</f>
        <v>#DIV/0!</v>
      </c>
      <c r="D35" s="82" t="e">
        <f>D34/$H$34</f>
        <v>#DIV/0!</v>
      </c>
      <c r="E35" s="82" t="e">
        <f>E34/$H$34</f>
        <v>#DIV/0!</v>
      </c>
      <c r="F35" s="82" t="e">
        <f>F34/$H$34</f>
        <v>#DIV/0!</v>
      </c>
      <c r="G35" s="82" t="e">
        <f>G34/$H$34</f>
        <v>#DIV/0!</v>
      </c>
      <c r="H35" s="162"/>
      <c r="I35" s="160"/>
    </row>
    <row r="36" spans="1:11" x14ac:dyDescent="0.2">
      <c r="A36" s="164" t="s">
        <v>186</v>
      </c>
      <c r="B36" s="164"/>
      <c r="C36" s="68">
        <f>C34</f>
        <v>0</v>
      </c>
      <c r="D36" s="68">
        <f t="shared" ref="D36:F36" si="13">C36+D34</f>
        <v>0</v>
      </c>
      <c r="E36" s="68">
        <f t="shared" si="13"/>
        <v>0</v>
      </c>
      <c r="F36" s="68">
        <f t="shared" si="13"/>
        <v>0</v>
      </c>
      <c r="G36" s="68">
        <f>F36+G34</f>
        <v>0</v>
      </c>
      <c r="H36" s="166" t="str">
        <f>IF(H34=G36,"","ERRO")</f>
        <v/>
      </c>
      <c r="I36" s="164"/>
    </row>
    <row r="37" spans="1:11" x14ac:dyDescent="0.2">
      <c r="A37" s="165"/>
      <c r="B37" s="165"/>
      <c r="C37" s="69" t="e">
        <f>C36/$H$34</f>
        <v>#DIV/0!</v>
      </c>
      <c r="D37" s="69" t="e">
        <f>D36/$H$34</f>
        <v>#DIV/0!</v>
      </c>
      <c r="E37" s="69" t="e">
        <f>E36/$H$34</f>
        <v>#DIV/0!</v>
      </c>
      <c r="F37" s="69" t="e">
        <f>F36/$H$34</f>
        <v>#DIV/0!</v>
      </c>
      <c r="G37" s="69" t="e">
        <f>G36/$H$34</f>
        <v>#DIV/0!</v>
      </c>
      <c r="H37" s="167"/>
      <c r="I37" s="165"/>
    </row>
    <row r="38" spans="1:11" x14ac:dyDescent="0.2">
      <c r="A38" s="70"/>
      <c r="B38" s="70"/>
      <c r="C38" s="70"/>
      <c r="D38" s="70"/>
      <c r="E38" s="70"/>
      <c r="F38" s="70"/>
      <c r="G38" s="70"/>
      <c r="H38" s="70"/>
      <c r="I38" s="70"/>
    </row>
    <row r="39" spans="1:11" x14ac:dyDescent="0.2">
      <c r="A39" s="157" t="str">
        <f>ORÇAMENTO!A83:J83</f>
        <v>São Carlos, 05 de junho de 2024.</v>
      </c>
      <c r="B39" s="157"/>
      <c r="C39" s="157"/>
      <c r="D39" s="157"/>
      <c r="E39" s="157"/>
      <c r="F39" s="157"/>
      <c r="G39" s="157"/>
      <c r="H39" s="157"/>
      <c r="I39" s="157"/>
    </row>
    <row r="40" spans="1:11" x14ac:dyDescent="0.2">
      <c r="A40" s="70"/>
      <c r="B40" s="70"/>
      <c r="C40" s="70"/>
      <c r="D40" s="70"/>
      <c r="E40" s="70"/>
      <c r="F40" s="70"/>
      <c r="G40" s="70"/>
      <c r="H40" s="70"/>
      <c r="I40" s="70"/>
    </row>
    <row r="41" spans="1:11" x14ac:dyDescent="0.2">
      <c r="A41" s="70"/>
      <c r="B41" s="70"/>
      <c r="C41" s="70"/>
      <c r="D41" s="70"/>
      <c r="E41" s="70"/>
      <c r="F41" s="70"/>
      <c r="G41" s="70"/>
      <c r="H41" s="70"/>
      <c r="I41" s="70"/>
    </row>
    <row r="42" spans="1:11" x14ac:dyDescent="0.2">
      <c r="A42" s="70"/>
      <c r="B42" s="70"/>
      <c r="C42" s="70"/>
      <c r="D42" s="70"/>
      <c r="E42" s="70"/>
      <c r="F42" s="70"/>
      <c r="G42" s="70"/>
      <c r="H42" s="158"/>
      <c r="I42" s="158"/>
    </row>
    <row r="43" spans="1:11" x14ac:dyDescent="0.2">
      <c r="A43" s="70"/>
      <c r="B43" s="70"/>
      <c r="C43" s="70"/>
      <c r="D43" s="70"/>
      <c r="E43" s="70"/>
      <c r="F43" s="70"/>
      <c r="G43" s="70"/>
      <c r="H43" s="70"/>
      <c r="I43" s="70"/>
    </row>
    <row r="44" spans="1:11" x14ac:dyDescent="0.2">
      <c r="A44" s="70"/>
      <c r="B44" s="70"/>
      <c r="C44" s="70"/>
      <c r="D44" s="70"/>
      <c r="E44" s="70"/>
      <c r="F44" s="70"/>
      <c r="G44" s="70"/>
      <c r="H44" s="70"/>
      <c r="I44" s="70"/>
    </row>
    <row r="45" spans="1:11" x14ac:dyDescent="0.2">
      <c r="A45" s="70"/>
      <c r="B45" s="70"/>
      <c r="C45" s="70"/>
      <c r="D45" s="70"/>
      <c r="E45" s="70"/>
      <c r="F45" s="70"/>
      <c r="G45" s="70"/>
      <c r="H45" s="70"/>
      <c r="I45" s="70"/>
    </row>
    <row r="46" spans="1:11" x14ac:dyDescent="0.2">
      <c r="A46" s="70"/>
      <c r="B46" s="71"/>
      <c r="C46" s="70"/>
      <c r="D46" s="70"/>
      <c r="E46" s="70"/>
      <c r="F46" s="70"/>
      <c r="G46" s="70"/>
      <c r="H46" s="71"/>
      <c r="I46" s="61"/>
    </row>
    <row r="47" spans="1:11" x14ac:dyDescent="0.2">
      <c r="A47" s="72"/>
      <c r="B47" s="72"/>
      <c r="C47" s="73"/>
      <c r="D47" s="72"/>
      <c r="E47" s="72"/>
      <c r="F47" s="72"/>
      <c r="G47" s="72"/>
      <c r="H47" s="74"/>
      <c r="I47" s="74"/>
    </row>
  </sheetData>
  <mergeCells count="66">
    <mergeCell ref="A39:I39"/>
    <mergeCell ref="H42:I42"/>
    <mergeCell ref="A27:A28"/>
    <mergeCell ref="B27:B28"/>
    <mergeCell ref="H27:H28"/>
    <mergeCell ref="I27:I28"/>
    <mergeCell ref="A34:B35"/>
    <mergeCell ref="H34:H35"/>
    <mergeCell ref="I34:I35"/>
    <mergeCell ref="A36:B37"/>
    <mergeCell ref="H36:H37"/>
    <mergeCell ref="I36:I37"/>
    <mergeCell ref="I25:I26"/>
    <mergeCell ref="A31:A32"/>
    <mergeCell ref="B31:B32"/>
    <mergeCell ref="H31:H32"/>
    <mergeCell ref="I31:I32"/>
    <mergeCell ref="A29:A30"/>
    <mergeCell ref="B29:B30"/>
    <mergeCell ref="H29:H30"/>
    <mergeCell ref="I29:I30"/>
    <mergeCell ref="A25:A26"/>
    <mergeCell ref="B25:B26"/>
    <mergeCell ref="H25:H26"/>
    <mergeCell ref="A21:A22"/>
    <mergeCell ref="B21:B22"/>
    <mergeCell ref="H21:H22"/>
    <mergeCell ref="I21:I22"/>
    <mergeCell ref="A23:A24"/>
    <mergeCell ref="B23:B24"/>
    <mergeCell ref="H23:H24"/>
    <mergeCell ref="I23:I24"/>
    <mergeCell ref="A17:A18"/>
    <mergeCell ref="B17:B18"/>
    <mergeCell ref="H17:H18"/>
    <mergeCell ref="I17:I18"/>
    <mergeCell ref="A19:A20"/>
    <mergeCell ref="B19:B20"/>
    <mergeCell ref="H19:H20"/>
    <mergeCell ref="I19:I20"/>
    <mergeCell ref="A13:A14"/>
    <mergeCell ref="B13:B14"/>
    <mergeCell ref="H13:H14"/>
    <mergeCell ref="I13:I14"/>
    <mergeCell ref="A15:A16"/>
    <mergeCell ref="B15:B16"/>
    <mergeCell ref="H15:H16"/>
    <mergeCell ref="I15:I16"/>
    <mergeCell ref="A9:A10"/>
    <mergeCell ref="B9:B10"/>
    <mergeCell ref="H9:H10"/>
    <mergeCell ref="I9:I10"/>
    <mergeCell ref="A11:A12"/>
    <mergeCell ref="B11:B12"/>
    <mergeCell ref="H11:H12"/>
    <mergeCell ref="I11:I12"/>
    <mergeCell ref="B1:I1"/>
    <mergeCell ref="A7:A8"/>
    <mergeCell ref="B7:B8"/>
    <mergeCell ref="C7:G7"/>
    <mergeCell ref="H7:H8"/>
    <mergeCell ref="I7:I8"/>
    <mergeCell ref="A2:I2"/>
    <mergeCell ref="A3:G5"/>
    <mergeCell ref="H3:H4"/>
    <mergeCell ref="I3:I4"/>
  </mergeCells>
  <conditionalFormatting sqref="C9:G9 C11:G11 C13:G13 C15:G15 C17:G17 C19:G19 C21:G21 C23:G23 C25:G25 C31:G31 C27:G27 C29:G29">
    <cfRule type="notContainsBlanks" dxfId="0" priority="6">
      <formula>LEN(TRIM(C9))&gt;0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view="pageBreakPreview" topLeftCell="A19" zoomScaleNormal="100" zoomScaleSheetLayoutView="100" workbookViewId="0">
      <selection activeCell="C14" sqref="C14"/>
    </sheetView>
  </sheetViews>
  <sheetFormatPr defaultRowHeight="14.25" x14ac:dyDescent="0.2"/>
  <cols>
    <col min="1" max="1" width="10.25" style="117" customWidth="1"/>
    <col min="2" max="2" width="13.125" style="117" customWidth="1"/>
    <col min="3" max="3" width="34.125" style="117" customWidth="1"/>
    <col min="4" max="4" width="6.375" style="117" customWidth="1"/>
    <col min="5" max="5" width="9.5" style="117" customWidth="1"/>
    <col min="6" max="6" width="8.75" style="117" customWidth="1"/>
    <col min="7" max="7" width="6.375" style="117" customWidth="1"/>
    <col min="8" max="8" width="7.875" style="117" customWidth="1"/>
    <col min="9" max="9" width="7.625" style="117" customWidth="1"/>
    <col min="10" max="10" width="8.5" style="117" customWidth="1"/>
    <col min="11" max="11" width="7" style="117" customWidth="1"/>
    <col min="12" max="12" width="9.75" style="117" customWidth="1"/>
    <col min="13" max="16384" width="9" style="117"/>
  </cols>
  <sheetData>
    <row r="1" spans="1:12" ht="14.25" customHeight="1" x14ac:dyDescent="0.2">
      <c r="A1" s="181"/>
      <c r="B1" s="182"/>
      <c r="C1" s="175" t="s">
        <v>226</v>
      </c>
      <c r="D1" s="175"/>
      <c r="E1" s="175"/>
      <c r="F1" s="175"/>
      <c r="G1" s="175"/>
      <c r="H1" s="175"/>
      <c r="I1" s="175"/>
      <c r="J1" s="175"/>
      <c r="K1" s="175"/>
      <c r="L1" s="176"/>
    </row>
    <row r="2" spans="1:12" ht="14.25" customHeight="1" x14ac:dyDescent="0.2">
      <c r="A2" s="183"/>
      <c r="B2" s="184"/>
      <c r="C2" s="177"/>
      <c r="D2" s="177"/>
      <c r="E2" s="177"/>
      <c r="F2" s="177"/>
      <c r="G2" s="177"/>
      <c r="H2" s="177"/>
      <c r="I2" s="177"/>
      <c r="J2" s="177"/>
      <c r="K2" s="177"/>
      <c r="L2" s="178"/>
    </row>
    <row r="3" spans="1:12" ht="14.25" customHeight="1" x14ac:dyDescent="0.2">
      <c r="A3" s="183"/>
      <c r="B3" s="184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 ht="14.25" customHeight="1" x14ac:dyDescent="0.2">
      <c r="A4" s="183"/>
      <c r="B4" s="184"/>
      <c r="C4" s="177"/>
      <c r="D4" s="177"/>
      <c r="E4" s="177"/>
      <c r="F4" s="177"/>
      <c r="G4" s="177"/>
      <c r="H4" s="177"/>
      <c r="I4" s="177"/>
      <c r="J4" s="177"/>
      <c r="K4" s="177"/>
      <c r="L4" s="178"/>
    </row>
    <row r="5" spans="1:12" ht="14.25" customHeight="1" x14ac:dyDescent="0.2">
      <c r="A5" s="183"/>
      <c r="B5" s="184"/>
      <c r="C5" s="177"/>
      <c r="D5" s="177"/>
      <c r="E5" s="177"/>
      <c r="F5" s="177"/>
      <c r="G5" s="177"/>
      <c r="H5" s="177"/>
      <c r="I5" s="177"/>
      <c r="J5" s="177"/>
      <c r="K5" s="177"/>
      <c r="L5" s="178"/>
    </row>
    <row r="6" spans="1:12" ht="14.25" customHeight="1" x14ac:dyDescent="0.2">
      <c r="A6" s="183"/>
      <c r="B6" s="184"/>
      <c r="C6" s="177"/>
      <c r="D6" s="177"/>
      <c r="E6" s="177"/>
      <c r="F6" s="177"/>
      <c r="G6" s="177"/>
      <c r="H6" s="177"/>
      <c r="I6" s="177"/>
      <c r="J6" s="177"/>
      <c r="K6" s="177"/>
      <c r="L6" s="178"/>
    </row>
    <row r="7" spans="1:12" ht="15" customHeight="1" thickBot="1" x14ac:dyDescent="0.25">
      <c r="A7" s="185"/>
      <c r="B7" s="186"/>
      <c r="C7" s="179"/>
      <c r="D7" s="179"/>
      <c r="E7" s="179"/>
      <c r="F7" s="179"/>
      <c r="G7" s="179"/>
      <c r="H7" s="179"/>
      <c r="I7" s="179"/>
      <c r="J7" s="179"/>
      <c r="K7" s="179"/>
      <c r="L7" s="180"/>
    </row>
    <row r="8" spans="1:12" ht="16.5" thickBot="1" x14ac:dyDescent="0.25">
      <c r="A8" s="187" t="s">
        <v>230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23"/>
    </row>
    <row r="9" spans="1:12" ht="30.75" customHeight="1" x14ac:dyDescent="0.2">
      <c r="A9" s="22"/>
      <c r="B9" s="168" t="str">
        <f>ORÇAMENTO!D2</f>
        <v xml:space="preserve">SUBSTITUIÇÃO DO INTERCEPTOR DE ESGOTO NA UFSCAR 
LOCAL: MARGEM ESQUERDA DO CÓRREGO DO MONJOLINHO TRECHO DA CAPITAÇÃO DO ESPRAIADO ATÉ A DIVISA DO CLUBE PAULISTINHA COM A DISSOLTEX - SÃO CARLOS/SP 
</v>
      </c>
      <c r="C9" s="168"/>
      <c r="D9" s="168"/>
      <c r="E9" s="168"/>
      <c r="F9" s="168"/>
      <c r="G9" s="168"/>
      <c r="H9" s="168"/>
      <c r="I9" s="168"/>
      <c r="J9" s="168"/>
      <c r="K9" s="168"/>
      <c r="L9" s="24"/>
    </row>
    <row r="10" spans="1:12" ht="18.75" customHeight="1" x14ac:dyDescent="0.2">
      <c r="A10" s="22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24"/>
    </row>
    <row r="11" spans="1:12" x14ac:dyDescent="0.2">
      <c r="A11" s="22"/>
      <c r="B11" s="119"/>
      <c r="C11" s="170"/>
      <c r="D11" s="170"/>
      <c r="E11" s="170"/>
      <c r="F11" s="170"/>
      <c r="G11" s="170"/>
      <c r="H11" s="170"/>
      <c r="I11" s="170"/>
      <c r="J11" s="170"/>
      <c r="K11" s="118"/>
      <c r="L11" s="24"/>
    </row>
    <row r="12" spans="1:12" x14ac:dyDescent="0.2">
      <c r="A12" s="22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24"/>
    </row>
    <row r="13" spans="1:12" x14ac:dyDescent="0.2">
      <c r="A13" s="22"/>
      <c r="B13" s="118"/>
      <c r="C13" s="120" t="s">
        <v>143</v>
      </c>
      <c r="D13" s="170"/>
      <c r="E13" s="170"/>
      <c r="F13" s="170"/>
      <c r="G13" s="170"/>
      <c r="H13" s="170"/>
      <c r="I13" s="170"/>
      <c r="J13" s="170"/>
      <c r="K13" s="170"/>
      <c r="L13" s="24"/>
    </row>
    <row r="14" spans="1:12" ht="15" thickBot="1" x14ac:dyDescent="0.25">
      <c r="A14" s="22"/>
      <c r="B14" s="27"/>
      <c r="C14" s="27"/>
      <c r="D14" s="27"/>
      <c r="E14" s="27"/>
      <c r="F14" s="27"/>
      <c r="G14" s="27"/>
      <c r="H14" s="28" t="s">
        <v>144</v>
      </c>
      <c r="I14" s="28" t="s">
        <v>145</v>
      </c>
      <c r="J14" s="28" t="s">
        <v>146</v>
      </c>
      <c r="K14" s="27"/>
      <c r="L14" s="24"/>
    </row>
    <row r="15" spans="1:12" ht="15" thickBot="1" x14ac:dyDescent="0.25">
      <c r="A15" s="22"/>
      <c r="B15" s="29" t="s">
        <v>147</v>
      </c>
      <c r="C15" s="30" t="s">
        <v>148</v>
      </c>
      <c r="D15" s="31"/>
      <c r="E15" s="32">
        <v>2.4500000000000002</v>
      </c>
      <c r="F15" s="33" t="s">
        <v>149</v>
      </c>
      <c r="G15" s="34"/>
      <c r="H15" s="35">
        <v>1.4999999999999999E-2</v>
      </c>
      <c r="I15" s="35">
        <v>3.4500000000000003E-2</v>
      </c>
      <c r="J15" s="35">
        <v>4.4900000000000002E-2</v>
      </c>
      <c r="K15" s="27"/>
      <c r="L15" s="24"/>
    </row>
    <row r="16" spans="1:12" ht="15" thickBot="1" x14ac:dyDescent="0.25">
      <c r="A16" s="22"/>
      <c r="B16" s="118"/>
      <c r="C16" s="172"/>
      <c r="D16" s="172"/>
      <c r="E16" s="118"/>
      <c r="F16" s="170"/>
      <c r="G16" s="170"/>
      <c r="H16" s="170"/>
      <c r="I16" s="170"/>
      <c r="J16" s="170"/>
      <c r="K16" s="170"/>
      <c r="L16" s="24"/>
    </row>
    <row r="17" spans="1:12" ht="15" thickBot="1" x14ac:dyDescent="0.25">
      <c r="A17" s="22"/>
      <c r="B17" s="29" t="s">
        <v>150</v>
      </c>
      <c r="C17" s="30" t="s">
        <v>151</v>
      </c>
      <c r="D17" s="31"/>
      <c r="E17" s="32">
        <v>0.85</v>
      </c>
      <c r="F17" s="33" t="s">
        <v>149</v>
      </c>
      <c r="G17" s="34"/>
      <c r="H17" s="35">
        <v>8.5000000000000006E-3</v>
      </c>
      <c r="I17" s="35">
        <v>8.5000000000000006E-3</v>
      </c>
      <c r="J17" s="35">
        <v>1.11E-2</v>
      </c>
      <c r="K17" s="27"/>
      <c r="L17" s="24"/>
    </row>
    <row r="18" spans="1:12" ht="15" thickBot="1" x14ac:dyDescent="0.25">
      <c r="A18" s="22"/>
      <c r="B18" s="118"/>
      <c r="C18" s="172"/>
      <c r="D18" s="172"/>
      <c r="E18" s="118"/>
      <c r="F18" s="170"/>
      <c r="G18" s="170"/>
      <c r="H18" s="170"/>
      <c r="I18" s="170"/>
      <c r="J18" s="170"/>
      <c r="K18" s="170"/>
      <c r="L18" s="24"/>
    </row>
    <row r="19" spans="1:12" ht="15" thickBot="1" x14ac:dyDescent="0.25">
      <c r="A19" s="22"/>
      <c r="B19" s="29" t="s">
        <v>152</v>
      </c>
      <c r="C19" s="30" t="s">
        <v>153</v>
      </c>
      <c r="D19" s="31"/>
      <c r="E19" s="32">
        <v>0.35</v>
      </c>
      <c r="F19" s="33" t="s">
        <v>149</v>
      </c>
      <c r="G19" s="34"/>
      <c r="H19" s="35">
        <v>3.0000000000000001E-3</v>
      </c>
      <c r="I19" s="35">
        <v>4.7999999999999996E-3</v>
      </c>
      <c r="J19" s="35">
        <v>8.2000000000000007E-3</v>
      </c>
      <c r="K19" s="27"/>
      <c r="L19" s="24"/>
    </row>
    <row r="20" spans="1:12" ht="15" thickBot="1" x14ac:dyDescent="0.25">
      <c r="A20" s="22"/>
      <c r="B20" s="118"/>
      <c r="C20" s="172"/>
      <c r="D20" s="172"/>
      <c r="E20" s="118"/>
      <c r="F20" s="170"/>
      <c r="G20" s="170"/>
      <c r="H20" s="170"/>
      <c r="I20" s="170"/>
      <c r="J20" s="170"/>
      <c r="K20" s="170"/>
      <c r="L20" s="24"/>
    </row>
    <row r="21" spans="1:12" ht="15" thickBot="1" x14ac:dyDescent="0.25">
      <c r="A21" s="22"/>
      <c r="B21" s="29" t="s">
        <v>154</v>
      </c>
      <c r="C21" s="30" t="s">
        <v>155</v>
      </c>
      <c r="D21" s="31"/>
      <c r="E21" s="32">
        <v>0.56000000000000005</v>
      </c>
      <c r="F21" s="33" t="s">
        <v>149</v>
      </c>
      <c r="G21" s="34"/>
      <c r="H21" s="35">
        <v>5.5999999999999999E-3</v>
      </c>
      <c r="I21" s="35">
        <v>8.5000000000000006E-3</v>
      </c>
      <c r="J21" s="35">
        <v>8.8999999999999999E-3</v>
      </c>
      <c r="K21" s="27"/>
      <c r="L21" s="24"/>
    </row>
    <row r="22" spans="1:12" ht="15" thickBot="1" x14ac:dyDescent="0.25">
      <c r="A22" s="22"/>
      <c r="B22" s="118"/>
      <c r="C22" s="172"/>
      <c r="D22" s="172"/>
      <c r="E22" s="118"/>
      <c r="F22" s="170"/>
      <c r="G22" s="170"/>
      <c r="H22" s="170"/>
      <c r="I22" s="170"/>
      <c r="J22" s="170"/>
      <c r="K22" s="170"/>
      <c r="L22" s="24"/>
    </row>
    <row r="23" spans="1:12" x14ac:dyDescent="0.2">
      <c r="A23" s="22"/>
      <c r="B23" s="118"/>
      <c r="C23" s="36" t="s">
        <v>156</v>
      </c>
      <c r="D23" s="37"/>
      <c r="E23" s="38">
        <v>2</v>
      </c>
      <c r="F23" s="39" t="s">
        <v>149</v>
      </c>
      <c r="G23" s="171"/>
      <c r="H23" s="170"/>
      <c r="I23" s="170"/>
      <c r="J23" s="170"/>
      <c r="K23" s="170"/>
      <c r="L23" s="24"/>
    </row>
    <row r="24" spans="1:12" x14ac:dyDescent="0.2">
      <c r="A24" s="22"/>
      <c r="B24" s="29" t="s">
        <v>157</v>
      </c>
      <c r="C24" s="40" t="s">
        <v>158</v>
      </c>
      <c r="D24" s="118"/>
      <c r="E24" s="41">
        <v>0.65</v>
      </c>
      <c r="F24" s="24" t="s">
        <v>149</v>
      </c>
      <c r="G24" s="171"/>
      <c r="H24" s="170"/>
      <c r="I24" s="170"/>
      <c r="J24" s="170"/>
      <c r="K24" s="170"/>
      <c r="L24" s="24"/>
    </row>
    <row r="25" spans="1:12" x14ac:dyDescent="0.2">
      <c r="A25" s="22"/>
      <c r="B25" s="118"/>
      <c r="C25" s="40" t="s">
        <v>159</v>
      </c>
      <c r="D25" s="118"/>
      <c r="E25" s="41">
        <v>3</v>
      </c>
      <c r="F25" s="24" t="s">
        <v>149</v>
      </c>
      <c r="G25" s="171"/>
      <c r="H25" s="170"/>
      <c r="I25" s="170"/>
      <c r="J25" s="170"/>
      <c r="K25" s="170"/>
      <c r="L25" s="24"/>
    </row>
    <row r="26" spans="1:12" ht="15" thickBot="1" x14ac:dyDescent="0.25">
      <c r="A26" s="22"/>
      <c r="B26" s="118"/>
      <c r="C26" s="40" t="s">
        <v>160</v>
      </c>
      <c r="D26" s="118"/>
      <c r="E26" s="41">
        <v>0</v>
      </c>
      <c r="F26" s="24" t="s">
        <v>149</v>
      </c>
      <c r="G26" s="171"/>
      <c r="H26" s="170"/>
      <c r="I26" s="170"/>
      <c r="J26" s="170"/>
      <c r="K26" s="170"/>
      <c r="L26" s="24"/>
    </row>
    <row r="27" spans="1:12" ht="15" thickBot="1" x14ac:dyDescent="0.25">
      <c r="A27" s="22"/>
      <c r="B27" s="118"/>
      <c r="C27" s="42" t="s">
        <v>161</v>
      </c>
      <c r="D27" s="43"/>
      <c r="E27" s="32">
        <f>SUM(E23:E26)</f>
        <v>5.65</v>
      </c>
      <c r="F27" s="33" t="s">
        <v>149</v>
      </c>
      <c r="G27" s="171"/>
      <c r="H27" s="170"/>
      <c r="I27" s="170"/>
      <c r="J27" s="170"/>
      <c r="K27" s="170"/>
      <c r="L27" s="24"/>
    </row>
    <row r="28" spans="1:12" ht="15" thickBot="1" x14ac:dyDescent="0.25">
      <c r="A28" s="22"/>
      <c r="B28" s="118"/>
      <c r="C28" s="172"/>
      <c r="D28" s="172"/>
      <c r="E28" s="118"/>
      <c r="F28" s="170"/>
      <c r="G28" s="170"/>
      <c r="H28" s="170"/>
      <c r="I28" s="170"/>
      <c r="J28" s="170"/>
      <c r="K28" s="170"/>
      <c r="L28" s="24"/>
    </row>
    <row r="29" spans="1:12" ht="15" thickBot="1" x14ac:dyDescent="0.25">
      <c r="A29" s="22"/>
      <c r="B29" s="29" t="s">
        <v>162</v>
      </c>
      <c r="C29" s="30" t="s">
        <v>163</v>
      </c>
      <c r="D29" s="31"/>
      <c r="E29" s="32">
        <v>5</v>
      </c>
      <c r="F29" s="33" t="s">
        <v>149</v>
      </c>
      <c r="G29" s="34"/>
      <c r="H29" s="35">
        <v>3.5000000000000003E-2</v>
      </c>
      <c r="I29" s="35">
        <v>5.11E-2</v>
      </c>
      <c r="J29" s="35">
        <v>6.2199999999999998E-2</v>
      </c>
      <c r="K29" s="27"/>
      <c r="L29" s="24"/>
    </row>
    <row r="30" spans="1:12" x14ac:dyDescent="0.2">
      <c r="A30" s="22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24"/>
    </row>
    <row r="31" spans="1:12" x14ac:dyDescent="0.2">
      <c r="A31" s="22"/>
      <c r="B31" s="170"/>
      <c r="C31" s="170"/>
      <c r="D31" s="118"/>
      <c r="E31" s="170"/>
      <c r="F31" s="170"/>
      <c r="G31" s="170"/>
      <c r="H31" s="170"/>
      <c r="I31" s="170"/>
      <c r="J31" s="170"/>
      <c r="K31" s="170"/>
      <c r="L31" s="24"/>
    </row>
    <row r="32" spans="1:12" ht="15" thickBot="1" x14ac:dyDescent="0.25">
      <c r="A32" s="22"/>
      <c r="B32" s="173" t="s">
        <v>164</v>
      </c>
      <c r="C32" s="173"/>
      <c r="D32" s="170"/>
      <c r="E32" s="170"/>
      <c r="F32" s="170"/>
      <c r="G32" s="170"/>
      <c r="H32" s="170"/>
      <c r="I32" s="170"/>
      <c r="J32" s="170"/>
      <c r="K32" s="170"/>
      <c r="L32" s="24"/>
    </row>
    <row r="33" spans="1:12" x14ac:dyDescent="0.2">
      <c r="A33" s="22"/>
      <c r="B33" s="44"/>
      <c r="C33" s="45"/>
      <c r="D33" s="45"/>
      <c r="E33" s="45"/>
      <c r="F33" s="45"/>
      <c r="G33" s="45"/>
      <c r="H33" s="45"/>
      <c r="I33" s="39"/>
      <c r="J33" s="171"/>
      <c r="K33" s="170"/>
      <c r="L33" s="24"/>
    </row>
    <row r="34" spans="1:12" ht="18.75" x14ac:dyDescent="0.2">
      <c r="A34" s="22"/>
      <c r="B34" s="46" t="s">
        <v>165</v>
      </c>
      <c r="C34" s="47" t="s">
        <v>166</v>
      </c>
      <c r="D34" s="48" t="s">
        <v>167</v>
      </c>
      <c r="E34" s="49">
        <v>1</v>
      </c>
      <c r="F34" s="118"/>
      <c r="G34" s="29" t="s">
        <v>168</v>
      </c>
      <c r="H34" s="49">
        <v>100</v>
      </c>
      <c r="I34" s="24"/>
      <c r="J34" s="171"/>
      <c r="K34" s="170"/>
      <c r="L34" s="24"/>
    </row>
    <row r="35" spans="1:12" x14ac:dyDescent="0.2">
      <c r="A35" s="22"/>
      <c r="B35" s="22"/>
      <c r="C35" s="49" t="s">
        <v>169</v>
      </c>
      <c r="D35" s="118"/>
      <c r="E35" s="170"/>
      <c r="F35" s="170"/>
      <c r="G35" s="170"/>
      <c r="H35" s="170"/>
      <c r="I35" s="24"/>
      <c r="J35" s="171"/>
      <c r="K35" s="170"/>
      <c r="L35" s="24"/>
    </row>
    <row r="36" spans="1:12" ht="15" thickBot="1" x14ac:dyDescent="0.25">
      <c r="A36" s="22"/>
      <c r="B36" s="50"/>
      <c r="C36" s="51"/>
      <c r="D36" s="51"/>
      <c r="E36" s="51"/>
      <c r="F36" s="51"/>
      <c r="G36" s="51"/>
      <c r="H36" s="51"/>
      <c r="I36" s="52"/>
      <c r="J36" s="171"/>
      <c r="K36" s="170"/>
      <c r="L36" s="24"/>
    </row>
    <row r="37" spans="1:12" x14ac:dyDescent="0.2">
      <c r="A37" s="22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24"/>
    </row>
    <row r="38" spans="1:12" x14ac:dyDescent="0.2">
      <c r="A38" s="22"/>
      <c r="B38" s="190" t="s">
        <v>170</v>
      </c>
      <c r="C38" s="190"/>
      <c r="D38" s="170"/>
      <c r="E38" s="170"/>
      <c r="F38" s="170"/>
      <c r="G38" s="170"/>
      <c r="H38" s="170"/>
      <c r="I38" s="170"/>
      <c r="J38" s="170"/>
      <c r="K38" s="170"/>
      <c r="L38" s="24"/>
    </row>
    <row r="39" spans="1:12" x14ac:dyDescent="0.2">
      <c r="A39" s="22"/>
      <c r="B39" s="27"/>
      <c r="C39" s="170"/>
      <c r="D39" s="170"/>
      <c r="E39" s="170"/>
      <c r="F39" s="27"/>
      <c r="G39" s="170"/>
      <c r="H39" s="170"/>
      <c r="I39" s="170"/>
      <c r="J39" s="170"/>
      <c r="K39" s="170"/>
      <c r="L39" s="24"/>
    </row>
    <row r="40" spans="1:12" ht="18.75" x14ac:dyDescent="0.2">
      <c r="A40" s="22"/>
      <c r="B40" s="120" t="s">
        <v>171</v>
      </c>
      <c r="C40" s="53">
        <f>(1+(E15/100)+(E19/100)+(E21/100))*(1+(E17/100))*(1+(E29/100))</f>
        <v>1.0945048800000001</v>
      </c>
      <c r="D40" s="48" t="s">
        <v>167</v>
      </c>
      <c r="E40" s="49">
        <v>1</v>
      </c>
      <c r="F40" s="118"/>
      <c r="G40" s="29" t="s">
        <v>168</v>
      </c>
      <c r="H40" s="49">
        <v>100</v>
      </c>
      <c r="I40" s="29" t="s">
        <v>172</v>
      </c>
      <c r="J40" s="54">
        <f>((C40/C41)-E40)*100</f>
        <v>16.004756756756766</v>
      </c>
      <c r="K40" s="120" t="s">
        <v>149</v>
      </c>
      <c r="L40" s="24"/>
    </row>
    <row r="41" spans="1:12" x14ac:dyDescent="0.2">
      <c r="A41" s="22"/>
      <c r="B41" s="118"/>
      <c r="C41" s="49">
        <f>(1-(E27/100))</f>
        <v>0.94350000000000001</v>
      </c>
      <c r="D41" s="118"/>
      <c r="E41" s="170"/>
      <c r="F41" s="170"/>
      <c r="G41" s="170"/>
      <c r="H41" s="170"/>
      <c r="I41" s="170"/>
      <c r="J41" s="170"/>
      <c r="K41" s="170"/>
      <c r="L41" s="24"/>
    </row>
    <row r="42" spans="1:12" x14ac:dyDescent="0.2">
      <c r="A42" s="22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24"/>
    </row>
    <row r="43" spans="1:12" x14ac:dyDescent="0.2">
      <c r="A43" s="22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24"/>
    </row>
    <row r="44" spans="1:12" ht="15.75" x14ac:dyDescent="0.2">
      <c r="A44" s="22"/>
      <c r="B44" s="118"/>
      <c r="C44" s="55" t="s">
        <v>173</v>
      </c>
      <c r="D44" s="118"/>
      <c r="E44" s="56">
        <f>J40</f>
        <v>16.004756756756766</v>
      </c>
      <c r="F44" s="189" t="s">
        <v>149</v>
      </c>
      <c r="G44" s="189"/>
      <c r="H44" s="118"/>
      <c r="I44" s="170"/>
      <c r="J44" s="170"/>
      <c r="K44" s="170"/>
      <c r="L44" s="24"/>
    </row>
    <row r="45" spans="1:12" x14ac:dyDescent="0.2">
      <c r="A45" s="22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24"/>
    </row>
    <row r="46" spans="1:12" x14ac:dyDescent="0.2">
      <c r="A46" s="22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24"/>
    </row>
    <row r="47" spans="1:12" ht="18" x14ac:dyDescent="0.25">
      <c r="A47" s="22"/>
      <c r="B47" s="122"/>
      <c r="C47" s="27"/>
      <c r="D47" s="27"/>
      <c r="E47" s="27"/>
      <c r="F47" s="27"/>
      <c r="G47" s="27"/>
      <c r="H47" s="27"/>
      <c r="I47" s="27"/>
      <c r="J47" s="27"/>
      <c r="K47" s="27"/>
      <c r="L47" s="24"/>
    </row>
    <row r="48" spans="1:12" x14ac:dyDescent="0.2">
      <c r="A48" s="22"/>
      <c r="B48" s="174" t="s">
        <v>174</v>
      </c>
      <c r="C48" s="174"/>
      <c r="D48" s="174"/>
      <c r="E48" s="174"/>
      <c r="F48" s="174"/>
      <c r="G48" s="174"/>
      <c r="H48" s="174"/>
      <c r="I48" s="174"/>
      <c r="J48" s="174"/>
      <c r="K48" s="118"/>
      <c r="L48" s="24"/>
    </row>
    <row r="49" spans="1:12" ht="15" thickBot="1" x14ac:dyDescent="0.25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2"/>
    </row>
  </sheetData>
  <mergeCells count="45">
    <mergeCell ref="B46:K46"/>
    <mergeCell ref="B48:J48"/>
    <mergeCell ref="C1:L7"/>
    <mergeCell ref="A1:B7"/>
    <mergeCell ref="A8:K8"/>
    <mergeCell ref="E41:K41"/>
    <mergeCell ref="B42:K42"/>
    <mergeCell ref="B43:K43"/>
    <mergeCell ref="F44:G44"/>
    <mergeCell ref="I44:K44"/>
    <mergeCell ref="B45:K45"/>
    <mergeCell ref="J36:K36"/>
    <mergeCell ref="B37:K37"/>
    <mergeCell ref="B38:C38"/>
    <mergeCell ref="D38:K38"/>
    <mergeCell ref="C39:E39"/>
    <mergeCell ref="G39:K39"/>
    <mergeCell ref="B32:C32"/>
    <mergeCell ref="D32:K32"/>
    <mergeCell ref="J33:K33"/>
    <mergeCell ref="J34:K34"/>
    <mergeCell ref="E35:H35"/>
    <mergeCell ref="J35:K35"/>
    <mergeCell ref="G27:K27"/>
    <mergeCell ref="C28:D28"/>
    <mergeCell ref="F28:K28"/>
    <mergeCell ref="B30:K30"/>
    <mergeCell ref="B31:C31"/>
    <mergeCell ref="E31:K31"/>
    <mergeCell ref="B9:K10"/>
    <mergeCell ref="C11:J11"/>
    <mergeCell ref="B12:K12"/>
    <mergeCell ref="D13:K13"/>
    <mergeCell ref="G26:K26"/>
    <mergeCell ref="C16:D16"/>
    <mergeCell ref="F16:K16"/>
    <mergeCell ref="C18:D18"/>
    <mergeCell ref="F18:K18"/>
    <mergeCell ref="C20:D20"/>
    <mergeCell ref="F20:K20"/>
    <mergeCell ref="C22:D22"/>
    <mergeCell ref="F22:K22"/>
    <mergeCell ref="G23:K23"/>
    <mergeCell ref="G24:K24"/>
    <mergeCell ref="G25:K2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view="pageBreakPreview" topLeftCell="A13" zoomScaleNormal="100" zoomScaleSheetLayoutView="100" workbookViewId="0">
      <selection activeCell="B9" sqref="B9:K10"/>
    </sheetView>
  </sheetViews>
  <sheetFormatPr defaultRowHeight="14.25" x14ac:dyDescent="0.2"/>
  <cols>
    <col min="1" max="1" width="9.875" customWidth="1"/>
    <col min="2" max="2" width="13.75" customWidth="1"/>
    <col min="3" max="3" width="34.125" customWidth="1"/>
    <col min="4" max="4" width="7.25" customWidth="1"/>
    <col min="5" max="5" width="9.5" customWidth="1"/>
    <col min="6" max="6" width="9.25" customWidth="1"/>
    <col min="7" max="7" width="8" customWidth="1"/>
    <col min="8" max="8" width="7.5" customWidth="1"/>
    <col min="9" max="9" width="8.625" customWidth="1"/>
    <col min="10" max="10" width="7.5" customWidth="1"/>
    <col min="11" max="11" width="4" customWidth="1"/>
    <col min="12" max="12" width="9.875" customWidth="1"/>
  </cols>
  <sheetData>
    <row r="1" spans="1:12" x14ac:dyDescent="0.2">
      <c r="A1" s="191" t="s">
        <v>141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3"/>
    </row>
    <row r="2" spans="1:12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6"/>
    </row>
    <row r="3" spans="1:12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6"/>
    </row>
    <row r="4" spans="1:12" x14ac:dyDescent="0.2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6"/>
    </row>
    <row r="5" spans="1:12" x14ac:dyDescent="0.2">
      <c r="A5" s="19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6"/>
    </row>
    <row r="6" spans="1:12" x14ac:dyDescent="0.2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</row>
    <row r="7" spans="1:12" ht="15" thickBot="1" x14ac:dyDescent="0.25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9"/>
    </row>
    <row r="8" spans="1:12" ht="16.5" thickBot="1" x14ac:dyDescent="0.25">
      <c r="A8" s="187" t="s">
        <v>142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200"/>
    </row>
    <row r="9" spans="1:12" ht="30.75" customHeight="1" x14ac:dyDescent="0.2">
      <c r="A9" s="22"/>
      <c r="B9" s="168" t="str">
        <f>ORÇAMENTO!D2</f>
        <v xml:space="preserve">SUBSTITUIÇÃO DO INTERCEPTOR DE ESGOTO NA UFSCAR 
LOCAL: MARGEM ESQUERDA DO CÓRREGO DO MONJOLINHO TRECHO DA CAPITAÇÃO DO ESPRAIADO ATÉ A DIVISA DO CLUBE PAULISTINHA COM A DISSOLTEX - SÃO CARLOS/SP 
</v>
      </c>
      <c r="C9" s="168"/>
      <c r="D9" s="168"/>
      <c r="E9" s="168"/>
      <c r="F9" s="168"/>
      <c r="G9" s="168"/>
      <c r="H9" s="168"/>
      <c r="I9" s="168"/>
      <c r="J9" s="168"/>
      <c r="K9" s="168"/>
      <c r="L9" s="24"/>
    </row>
    <row r="10" spans="1:12" ht="18.75" customHeight="1" x14ac:dyDescent="0.2">
      <c r="A10" s="22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24"/>
    </row>
    <row r="11" spans="1:12" x14ac:dyDescent="0.2">
      <c r="A11" s="22"/>
      <c r="B11" s="25"/>
      <c r="C11" s="170"/>
      <c r="D11" s="170"/>
      <c r="E11" s="170"/>
      <c r="F11" s="170"/>
      <c r="G11" s="170"/>
      <c r="H11" s="170"/>
      <c r="I11" s="170"/>
      <c r="J11" s="170"/>
      <c r="K11" s="23"/>
      <c r="L11" s="24"/>
    </row>
    <row r="12" spans="1:12" x14ac:dyDescent="0.2">
      <c r="A12" s="22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24"/>
    </row>
    <row r="13" spans="1:12" x14ac:dyDescent="0.2">
      <c r="A13" s="22"/>
      <c r="B13" s="23"/>
      <c r="C13" s="26" t="s">
        <v>143</v>
      </c>
      <c r="D13" s="170"/>
      <c r="E13" s="170"/>
      <c r="F13" s="170"/>
      <c r="G13" s="170"/>
      <c r="H13" s="170"/>
      <c r="I13" s="170"/>
      <c r="J13" s="170"/>
      <c r="K13" s="170"/>
      <c r="L13" s="24"/>
    </row>
    <row r="14" spans="1:12" ht="15" thickBot="1" x14ac:dyDescent="0.25">
      <c r="A14" s="22"/>
      <c r="B14" s="27"/>
      <c r="C14" s="27"/>
      <c r="D14" s="27"/>
      <c r="E14" s="27"/>
      <c r="F14" s="27"/>
      <c r="G14" s="27"/>
      <c r="H14" s="28" t="s">
        <v>144</v>
      </c>
      <c r="I14" s="28" t="s">
        <v>145</v>
      </c>
      <c r="J14" s="28" t="s">
        <v>146</v>
      </c>
      <c r="K14" s="27"/>
      <c r="L14" s="24"/>
    </row>
    <row r="15" spans="1:12" ht="15" thickBot="1" x14ac:dyDescent="0.25">
      <c r="A15" s="22"/>
      <c r="B15" s="29" t="s">
        <v>147</v>
      </c>
      <c r="C15" s="30" t="s">
        <v>148</v>
      </c>
      <c r="D15" s="31"/>
      <c r="E15" s="32">
        <v>6</v>
      </c>
      <c r="F15" s="33" t="s">
        <v>149</v>
      </c>
      <c r="G15" s="34"/>
      <c r="H15" s="35">
        <v>3.4299999999999997E-2</v>
      </c>
      <c r="I15" s="35">
        <v>4.9299999999999997E-2</v>
      </c>
      <c r="J15" s="35">
        <v>6.7100000000000007E-2</v>
      </c>
      <c r="K15" s="27"/>
      <c r="L15" s="24"/>
    </row>
    <row r="16" spans="1:12" ht="15" thickBot="1" x14ac:dyDescent="0.25">
      <c r="A16" s="22"/>
      <c r="B16" s="23"/>
      <c r="C16" s="172"/>
      <c r="D16" s="172"/>
      <c r="E16" s="23"/>
      <c r="F16" s="170"/>
      <c r="G16" s="170"/>
      <c r="H16" s="170"/>
      <c r="I16" s="170"/>
      <c r="J16" s="170"/>
      <c r="K16" s="170"/>
      <c r="L16" s="24"/>
    </row>
    <row r="17" spans="1:12" ht="15" thickBot="1" x14ac:dyDescent="0.25">
      <c r="A17" s="22"/>
      <c r="B17" s="29" t="s">
        <v>150</v>
      </c>
      <c r="C17" s="30" t="s">
        <v>151</v>
      </c>
      <c r="D17" s="31"/>
      <c r="E17" s="32">
        <v>1</v>
      </c>
      <c r="F17" s="33" t="s">
        <v>149</v>
      </c>
      <c r="G17" s="34"/>
      <c r="H17" s="35">
        <v>9.4000000000000004E-3</v>
      </c>
      <c r="I17" s="35">
        <v>9.9000000000000008E-3</v>
      </c>
      <c r="J17" s="35">
        <v>1.17E-2</v>
      </c>
      <c r="K17" s="27"/>
      <c r="L17" s="24"/>
    </row>
    <row r="18" spans="1:12" ht="15" thickBot="1" x14ac:dyDescent="0.25">
      <c r="A18" s="22"/>
      <c r="B18" s="23"/>
      <c r="C18" s="172"/>
      <c r="D18" s="172"/>
      <c r="E18" s="23"/>
      <c r="F18" s="170"/>
      <c r="G18" s="170"/>
      <c r="H18" s="170"/>
      <c r="I18" s="170"/>
      <c r="J18" s="170"/>
      <c r="K18" s="170"/>
      <c r="L18" s="24"/>
    </row>
    <row r="19" spans="1:12" ht="15" thickBot="1" x14ac:dyDescent="0.25">
      <c r="A19" s="22"/>
      <c r="B19" s="29" t="s">
        <v>152</v>
      </c>
      <c r="C19" s="30" t="s">
        <v>153</v>
      </c>
      <c r="D19" s="31"/>
      <c r="E19" s="32">
        <v>0.51</v>
      </c>
      <c r="F19" s="33" t="s">
        <v>149</v>
      </c>
      <c r="G19" s="34"/>
      <c r="H19" s="35">
        <v>2.8E-3</v>
      </c>
      <c r="I19" s="35">
        <v>4.8999999999999998E-3</v>
      </c>
      <c r="J19" s="35">
        <v>7.4999999999999997E-3</v>
      </c>
      <c r="K19" s="27"/>
      <c r="L19" s="24"/>
    </row>
    <row r="20" spans="1:12" ht="15" thickBot="1" x14ac:dyDescent="0.25">
      <c r="A20" s="22"/>
      <c r="B20" s="23"/>
      <c r="C20" s="172"/>
      <c r="D20" s="172"/>
      <c r="E20" s="23"/>
      <c r="F20" s="170"/>
      <c r="G20" s="170"/>
      <c r="H20" s="170"/>
      <c r="I20" s="170"/>
      <c r="J20" s="170"/>
      <c r="K20" s="170"/>
      <c r="L20" s="24"/>
    </row>
    <row r="21" spans="1:12" ht="15" thickBot="1" x14ac:dyDescent="0.25">
      <c r="A21" s="22"/>
      <c r="B21" s="29" t="s">
        <v>154</v>
      </c>
      <c r="C21" s="30" t="s">
        <v>155</v>
      </c>
      <c r="D21" s="31"/>
      <c r="E21" s="32">
        <v>1.61</v>
      </c>
      <c r="F21" s="33" t="s">
        <v>149</v>
      </c>
      <c r="G21" s="34"/>
      <c r="H21" s="35">
        <v>0.01</v>
      </c>
      <c r="I21" s="35">
        <v>1.3899999999999999E-2</v>
      </c>
      <c r="J21" s="35">
        <v>1.7399999999999999E-2</v>
      </c>
      <c r="K21" s="27"/>
      <c r="L21" s="24"/>
    </row>
    <row r="22" spans="1:12" ht="15" thickBot="1" x14ac:dyDescent="0.25">
      <c r="A22" s="22"/>
      <c r="B22" s="23"/>
      <c r="C22" s="172"/>
      <c r="D22" s="172"/>
      <c r="E22" s="23"/>
      <c r="F22" s="170"/>
      <c r="G22" s="170"/>
      <c r="H22" s="170"/>
      <c r="I22" s="170"/>
      <c r="J22" s="170"/>
      <c r="K22" s="170"/>
      <c r="L22" s="24"/>
    </row>
    <row r="23" spans="1:12" x14ac:dyDescent="0.2">
      <c r="A23" s="22"/>
      <c r="B23" s="23"/>
      <c r="C23" s="36" t="s">
        <v>156</v>
      </c>
      <c r="D23" s="37"/>
      <c r="E23" s="38">
        <v>2</v>
      </c>
      <c r="F23" s="39" t="s">
        <v>149</v>
      </c>
      <c r="G23" s="171"/>
      <c r="H23" s="170"/>
      <c r="I23" s="170"/>
      <c r="J23" s="170"/>
      <c r="K23" s="170"/>
      <c r="L23" s="24"/>
    </row>
    <row r="24" spans="1:12" x14ac:dyDescent="0.2">
      <c r="A24" s="22"/>
      <c r="B24" s="29" t="s">
        <v>157</v>
      </c>
      <c r="C24" s="40" t="s">
        <v>158</v>
      </c>
      <c r="D24" s="23"/>
      <c r="E24" s="41">
        <v>0.65</v>
      </c>
      <c r="F24" s="24" t="s">
        <v>149</v>
      </c>
      <c r="G24" s="171"/>
      <c r="H24" s="170"/>
      <c r="I24" s="170"/>
      <c r="J24" s="170"/>
      <c r="K24" s="170"/>
      <c r="L24" s="24"/>
    </row>
    <row r="25" spans="1:12" x14ac:dyDescent="0.2">
      <c r="A25" s="22"/>
      <c r="B25" s="23"/>
      <c r="C25" s="40" t="s">
        <v>159</v>
      </c>
      <c r="D25" s="23"/>
      <c r="E25" s="41">
        <v>3</v>
      </c>
      <c r="F25" s="24" t="s">
        <v>149</v>
      </c>
      <c r="G25" s="171"/>
      <c r="H25" s="170"/>
      <c r="I25" s="170"/>
      <c r="J25" s="170"/>
      <c r="K25" s="170"/>
      <c r="L25" s="24"/>
    </row>
    <row r="26" spans="1:12" ht="15" thickBot="1" x14ac:dyDescent="0.25">
      <c r="A26" s="22"/>
      <c r="B26" s="23"/>
      <c r="C26" s="40" t="s">
        <v>160</v>
      </c>
      <c r="D26" s="23"/>
      <c r="E26" s="41">
        <v>0</v>
      </c>
      <c r="F26" s="24" t="s">
        <v>149</v>
      </c>
      <c r="G26" s="171"/>
      <c r="H26" s="170"/>
      <c r="I26" s="170"/>
      <c r="J26" s="170"/>
      <c r="K26" s="170"/>
      <c r="L26" s="24"/>
    </row>
    <row r="27" spans="1:12" ht="15" thickBot="1" x14ac:dyDescent="0.25">
      <c r="A27" s="22"/>
      <c r="B27" s="23"/>
      <c r="C27" s="42" t="s">
        <v>161</v>
      </c>
      <c r="D27" s="43"/>
      <c r="E27" s="32">
        <f>SUM(E23:E26)</f>
        <v>5.65</v>
      </c>
      <c r="F27" s="33" t="s">
        <v>149</v>
      </c>
      <c r="G27" s="171"/>
      <c r="H27" s="170"/>
      <c r="I27" s="170"/>
      <c r="J27" s="170"/>
      <c r="K27" s="170"/>
      <c r="L27" s="24"/>
    </row>
    <row r="28" spans="1:12" ht="15" thickBot="1" x14ac:dyDescent="0.25">
      <c r="A28" s="22"/>
      <c r="B28" s="23"/>
      <c r="C28" s="172"/>
      <c r="D28" s="172"/>
      <c r="E28" s="23"/>
      <c r="F28" s="170"/>
      <c r="G28" s="170"/>
      <c r="H28" s="170"/>
      <c r="I28" s="170"/>
      <c r="J28" s="170"/>
      <c r="K28" s="170"/>
      <c r="L28" s="24"/>
    </row>
    <row r="29" spans="1:12" ht="15" thickBot="1" x14ac:dyDescent="0.25">
      <c r="A29" s="22"/>
      <c r="B29" s="29" t="s">
        <v>162</v>
      </c>
      <c r="C29" s="30" t="s">
        <v>163</v>
      </c>
      <c r="D29" s="31"/>
      <c r="E29" s="32">
        <v>8</v>
      </c>
      <c r="F29" s="33" t="s">
        <v>149</v>
      </c>
      <c r="G29" s="34"/>
      <c r="H29" s="35">
        <v>6.7400000000000002E-2</v>
      </c>
      <c r="I29" s="35">
        <v>8.0399999999999999E-2</v>
      </c>
      <c r="J29" s="35">
        <v>9.4E-2</v>
      </c>
      <c r="K29" s="27"/>
      <c r="L29" s="24"/>
    </row>
    <row r="30" spans="1:12" x14ac:dyDescent="0.2">
      <c r="A30" s="22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24"/>
    </row>
    <row r="31" spans="1:12" x14ac:dyDescent="0.2">
      <c r="A31" s="22"/>
      <c r="B31" s="170"/>
      <c r="C31" s="170"/>
      <c r="D31" s="23"/>
      <c r="E31" s="170"/>
      <c r="F31" s="170"/>
      <c r="G31" s="170"/>
      <c r="H31" s="170"/>
      <c r="I31" s="170"/>
      <c r="J31" s="170"/>
      <c r="K31" s="170"/>
      <c r="L31" s="24"/>
    </row>
    <row r="32" spans="1:12" ht="15" thickBot="1" x14ac:dyDescent="0.25">
      <c r="A32" s="22"/>
      <c r="B32" s="173" t="s">
        <v>164</v>
      </c>
      <c r="C32" s="173"/>
      <c r="D32" s="170"/>
      <c r="E32" s="170"/>
      <c r="F32" s="170"/>
      <c r="G32" s="170"/>
      <c r="H32" s="170"/>
      <c r="I32" s="170"/>
      <c r="J32" s="170"/>
      <c r="K32" s="170"/>
      <c r="L32" s="24"/>
    </row>
    <row r="33" spans="1:12" x14ac:dyDescent="0.2">
      <c r="A33" s="22"/>
      <c r="B33" s="44"/>
      <c r="C33" s="45"/>
      <c r="D33" s="45"/>
      <c r="E33" s="45"/>
      <c r="F33" s="45"/>
      <c r="G33" s="45"/>
      <c r="H33" s="45"/>
      <c r="I33" s="39"/>
      <c r="J33" s="171"/>
      <c r="K33" s="170"/>
      <c r="L33" s="24"/>
    </row>
    <row r="34" spans="1:12" ht="18.75" x14ac:dyDescent="0.2">
      <c r="A34" s="22"/>
      <c r="B34" s="46" t="s">
        <v>165</v>
      </c>
      <c r="C34" s="47" t="s">
        <v>166</v>
      </c>
      <c r="D34" s="48" t="s">
        <v>167</v>
      </c>
      <c r="E34" s="49">
        <v>1</v>
      </c>
      <c r="F34" s="23"/>
      <c r="G34" s="29" t="s">
        <v>168</v>
      </c>
      <c r="H34" s="49">
        <v>100</v>
      </c>
      <c r="I34" s="24"/>
      <c r="J34" s="171"/>
      <c r="K34" s="170"/>
      <c r="L34" s="24"/>
    </row>
    <row r="35" spans="1:12" x14ac:dyDescent="0.2">
      <c r="A35" s="22"/>
      <c r="B35" s="22"/>
      <c r="C35" s="49" t="s">
        <v>169</v>
      </c>
      <c r="D35" s="23"/>
      <c r="E35" s="170"/>
      <c r="F35" s="170"/>
      <c r="G35" s="170"/>
      <c r="H35" s="170"/>
      <c r="I35" s="24"/>
      <c r="J35" s="171"/>
      <c r="K35" s="170"/>
      <c r="L35" s="24"/>
    </row>
    <row r="36" spans="1:12" ht="15" thickBot="1" x14ac:dyDescent="0.25">
      <c r="A36" s="22"/>
      <c r="B36" s="50"/>
      <c r="C36" s="51"/>
      <c r="D36" s="51"/>
      <c r="E36" s="51"/>
      <c r="F36" s="51"/>
      <c r="G36" s="51"/>
      <c r="H36" s="51"/>
      <c r="I36" s="52"/>
      <c r="J36" s="171"/>
      <c r="K36" s="170"/>
      <c r="L36" s="24"/>
    </row>
    <row r="37" spans="1:12" x14ac:dyDescent="0.2">
      <c r="A37" s="22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24"/>
    </row>
    <row r="38" spans="1:12" x14ac:dyDescent="0.2">
      <c r="A38" s="22"/>
      <c r="B38" s="190" t="s">
        <v>170</v>
      </c>
      <c r="C38" s="190"/>
      <c r="D38" s="170"/>
      <c r="E38" s="170"/>
      <c r="F38" s="170"/>
      <c r="G38" s="170"/>
      <c r="H38" s="170"/>
      <c r="I38" s="170"/>
      <c r="J38" s="170"/>
      <c r="K38" s="170"/>
      <c r="L38" s="24"/>
    </row>
    <row r="39" spans="1:12" x14ac:dyDescent="0.2">
      <c r="A39" s="22"/>
      <c r="B39" s="27"/>
      <c r="C39" s="170"/>
      <c r="D39" s="170"/>
      <c r="E39" s="170"/>
      <c r="F39" s="27"/>
      <c r="G39" s="170"/>
      <c r="H39" s="170"/>
      <c r="I39" s="170"/>
      <c r="J39" s="170"/>
      <c r="K39" s="170"/>
      <c r="L39" s="24"/>
    </row>
    <row r="40" spans="1:12" ht="18.75" x14ac:dyDescent="0.2">
      <c r="A40" s="22"/>
      <c r="B40" s="26" t="s">
        <v>171</v>
      </c>
      <c r="C40" s="53">
        <f>(1+(E15/100)+(E19/100)+(E21/100))*(1+(E17/100))*(1+(E29/100))</f>
        <v>1.1793729600000002</v>
      </c>
      <c r="D40" s="48" t="s">
        <v>167</v>
      </c>
      <c r="E40" s="49">
        <v>1</v>
      </c>
      <c r="F40" s="23"/>
      <c r="G40" s="29" t="s">
        <v>168</v>
      </c>
      <c r="H40" s="49">
        <v>100</v>
      </c>
      <c r="I40" s="29" t="s">
        <v>172</v>
      </c>
      <c r="J40" s="54">
        <f>((C40/C41)-E40)*100</f>
        <v>24.999783783783801</v>
      </c>
      <c r="K40" s="26" t="s">
        <v>149</v>
      </c>
      <c r="L40" s="24"/>
    </row>
    <row r="41" spans="1:12" x14ac:dyDescent="0.2">
      <c r="A41" s="22"/>
      <c r="B41" s="23"/>
      <c r="C41" s="49">
        <f>(1-(E27/100))</f>
        <v>0.94350000000000001</v>
      </c>
      <c r="D41" s="23"/>
      <c r="E41" s="170"/>
      <c r="F41" s="170"/>
      <c r="G41" s="170"/>
      <c r="H41" s="170"/>
      <c r="I41" s="170"/>
      <c r="J41" s="170"/>
      <c r="K41" s="170"/>
      <c r="L41" s="24"/>
    </row>
    <row r="42" spans="1:12" x14ac:dyDescent="0.2">
      <c r="A42" s="22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24"/>
    </row>
    <row r="43" spans="1:12" x14ac:dyDescent="0.2">
      <c r="A43" s="22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24"/>
    </row>
    <row r="44" spans="1:12" ht="15.75" x14ac:dyDescent="0.2">
      <c r="A44" s="22"/>
      <c r="B44" s="23"/>
      <c r="C44" s="55" t="s">
        <v>173</v>
      </c>
      <c r="D44" s="23"/>
      <c r="E44" s="56">
        <f>J40</f>
        <v>24.999783783783801</v>
      </c>
      <c r="F44" s="189" t="s">
        <v>149</v>
      </c>
      <c r="G44" s="189"/>
      <c r="H44" s="23"/>
      <c r="I44" s="170"/>
      <c r="J44" s="170"/>
      <c r="K44" s="170"/>
      <c r="L44" s="24"/>
    </row>
    <row r="45" spans="1:12" x14ac:dyDescent="0.2">
      <c r="A45" s="22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24"/>
    </row>
    <row r="46" spans="1:12" x14ac:dyDescent="0.2">
      <c r="A46" s="22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24"/>
    </row>
    <row r="47" spans="1:12" x14ac:dyDescent="0.2">
      <c r="A47" s="22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24"/>
    </row>
    <row r="48" spans="1:12" x14ac:dyDescent="0.2">
      <c r="A48" s="22"/>
      <c r="B48" s="174" t="s">
        <v>174</v>
      </c>
      <c r="C48" s="174"/>
      <c r="D48" s="174"/>
      <c r="E48" s="174"/>
      <c r="F48" s="174"/>
      <c r="G48" s="174"/>
      <c r="H48" s="174"/>
      <c r="I48" s="174"/>
      <c r="J48" s="174"/>
      <c r="K48" s="23"/>
      <c r="L48" s="24"/>
    </row>
    <row r="49" spans="1:12" ht="15" thickBot="1" x14ac:dyDescent="0.25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2"/>
    </row>
  </sheetData>
  <mergeCells count="45">
    <mergeCell ref="A1:L7"/>
    <mergeCell ref="A8:L8"/>
    <mergeCell ref="C11:J11"/>
    <mergeCell ref="B12:K12"/>
    <mergeCell ref="G26:K26"/>
    <mergeCell ref="D13:K13"/>
    <mergeCell ref="C16:D16"/>
    <mergeCell ref="F16:K16"/>
    <mergeCell ref="C18:D18"/>
    <mergeCell ref="F18:K18"/>
    <mergeCell ref="C20:D20"/>
    <mergeCell ref="F20:K20"/>
    <mergeCell ref="C22:D22"/>
    <mergeCell ref="F22:K22"/>
    <mergeCell ref="G23:K23"/>
    <mergeCell ref="G24:K24"/>
    <mergeCell ref="G25:K25"/>
    <mergeCell ref="G27:K27"/>
    <mergeCell ref="C28:D28"/>
    <mergeCell ref="F28:K28"/>
    <mergeCell ref="B30:K30"/>
    <mergeCell ref="J35:K35"/>
    <mergeCell ref="B46:K46"/>
    <mergeCell ref="B47:K47"/>
    <mergeCell ref="B31:C31"/>
    <mergeCell ref="E31:K31"/>
    <mergeCell ref="B32:C32"/>
    <mergeCell ref="D32:K32"/>
    <mergeCell ref="J33:K33"/>
    <mergeCell ref="B48:J48"/>
    <mergeCell ref="B9:K10"/>
    <mergeCell ref="E41:K41"/>
    <mergeCell ref="B42:K42"/>
    <mergeCell ref="B43:K43"/>
    <mergeCell ref="F44:G44"/>
    <mergeCell ref="I44:K44"/>
    <mergeCell ref="B45:K45"/>
    <mergeCell ref="J36:K36"/>
    <mergeCell ref="B37:K37"/>
    <mergeCell ref="B38:C38"/>
    <mergeCell ref="D38:K38"/>
    <mergeCell ref="C39:E39"/>
    <mergeCell ref="G39:K39"/>
    <mergeCell ref="J34:K34"/>
    <mergeCell ref="E35:H3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ORÇAMENTO</vt:lpstr>
      <vt:lpstr>CRONOGRAMA</vt:lpstr>
      <vt:lpstr>BDI (forn mater)</vt:lpstr>
      <vt:lpstr>BDI</vt:lpstr>
      <vt:lpstr>BDI!Area_de_impressao</vt:lpstr>
      <vt:lpstr>'BDI (forn mater)'!Area_de_impressao</vt:lpstr>
      <vt:lpstr>CRONOGRAMA!Area_de_impressao</vt:lpstr>
      <vt:lpstr>ORÇAMENTO!Area_de_impressao</vt:lpstr>
      <vt:lpstr>PLANILHA</vt:lpstr>
      <vt:lpstr>ORÇAMENTO!Titulos_de_impressao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licitacao002</cp:lastModifiedBy>
  <cp:revision>0</cp:revision>
  <cp:lastPrinted>2024-06-07T14:49:52Z</cp:lastPrinted>
  <dcterms:created xsi:type="dcterms:W3CDTF">2022-11-08T18:01:53Z</dcterms:created>
  <dcterms:modified xsi:type="dcterms:W3CDTF">2025-01-16T14:30:36Z</dcterms:modified>
</cp:coreProperties>
</file>