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ODRIGO\PROJETOS\TRAVESSIA COLETOR SERRINHA\R03 - Travessia com treliça metalica SERRINHA\"/>
    </mc:Choice>
  </mc:AlternateContent>
  <bookViews>
    <workbookView xWindow="0" yWindow="0" windowWidth="28800" windowHeight="12435" activeTab="2"/>
  </bookViews>
  <sheets>
    <sheet name="cronograma" sheetId="2" r:id="rId1"/>
    <sheet name="BDI" sheetId="3" r:id="rId2"/>
    <sheet name="ORÇAMENTO_R03" sheetId="5" r:id="rId3"/>
  </sheets>
  <definedNames>
    <definedName name="_xlnm.Print_Area" localSheetId="0">cronograma!$A$1:$I$54</definedName>
    <definedName name="_xlnm.Print_Area" localSheetId="2">ORÇAMENTO_R03!$A$1:$L$91</definedName>
    <definedName name="PLANILHA" localSheetId="2">ORÇAMENTO_R03!$A$5:$L$77</definedName>
    <definedName name="PLANILHA">#REF!</definedName>
    <definedName name="_xlnm.Print_Titles" localSheetId="2">ORÇAMENTO_R03!$1:$4</definedName>
  </definedNames>
  <calcPr calcId="152511"/>
</workbook>
</file>

<file path=xl/calcChain.xml><?xml version="1.0" encoding="utf-8"?>
<calcChain xmlns="http://schemas.openxmlformats.org/spreadsheetml/2006/main">
  <c r="A3" i="2" l="1"/>
  <c r="B9" i="3"/>
  <c r="H8" i="5" l="1"/>
  <c r="A43" i="2"/>
  <c r="B33" i="2"/>
  <c r="B31" i="2"/>
  <c r="B29" i="2"/>
  <c r="B27" i="2"/>
  <c r="B25" i="2"/>
  <c r="B23" i="2"/>
  <c r="B21" i="2"/>
  <c r="B19" i="2"/>
  <c r="B17" i="2"/>
  <c r="B15" i="2"/>
  <c r="B13" i="2"/>
  <c r="B11" i="2"/>
  <c r="B9" i="2"/>
  <c r="K30" i="2"/>
  <c r="D29" i="2"/>
  <c r="C29" i="2"/>
  <c r="K28" i="2"/>
  <c r="E27" i="2"/>
  <c r="D27" i="2"/>
  <c r="C27" i="2"/>
  <c r="K32" i="2"/>
  <c r="F31" i="2"/>
  <c r="E31" i="2"/>
  <c r="D31" i="2"/>
  <c r="C31" i="2"/>
  <c r="H57" i="5" l="1"/>
  <c r="K57" i="5" s="1"/>
  <c r="H58" i="5"/>
  <c r="K58" i="5" s="1"/>
  <c r="H56" i="5"/>
  <c r="K56" i="5" s="1"/>
  <c r="H55" i="5"/>
  <c r="K55" i="5" s="1"/>
  <c r="H76" i="5"/>
  <c r="K76" i="5" s="1"/>
  <c r="I76" i="5" s="1"/>
  <c r="H66" i="5" l="1"/>
  <c r="H65" i="5"/>
  <c r="H51" i="5"/>
  <c r="H46" i="5"/>
  <c r="H48" i="5"/>
  <c r="K48" i="5" s="1"/>
  <c r="H47" i="5"/>
  <c r="H45" i="5"/>
  <c r="K45" i="5" s="1"/>
  <c r="H44" i="5"/>
  <c r="K44" i="5" s="1"/>
  <c r="H30" i="5"/>
  <c r="H31" i="5"/>
  <c r="K66" i="5" l="1"/>
  <c r="K65" i="5"/>
  <c r="K51" i="5"/>
  <c r="K46" i="5"/>
  <c r="K47" i="5"/>
  <c r="K30" i="5"/>
  <c r="K31" i="5"/>
  <c r="K8" i="5"/>
  <c r="H23" i="5"/>
  <c r="K23" i="5" s="1"/>
  <c r="H10" i="5"/>
  <c r="H21" i="5"/>
  <c r="K21" i="5" s="1"/>
  <c r="H20" i="5"/>
  <c r="K20" i="5" s="1"/>
  <c r="H18" i="5"/>
  <c r="K18" i="5" s="1"/>
  <c r="H17" i="5"/>
  <c r="H13" i="5"/>
  <c r="H12" i="5"/>
  <c r="H11" i="5"/>
  <c r="H9" i="5"/>
  <c r="H6" i="5"/>
  <c r="K64" i="5" l="1"/>
  <c r="H27" i="2" s="1"/>
  <c r="K43" i="5"/>
  <c r="H19" i="2" s="1"/>
  <c r="E19" i="2" s="1"/>
  <c r="K17" i="5"/>
  <c r="K22" i="5"/>
  <c r="H13" i="2" s="1"/>
  <c r="K10" i="5"/>
  <c r="H27" i="5"/>
  <c r="H26" i="5"/>
  <c r="H40" i="5"/>
  <c r="H39" i="5"/>
  <c r="H38" i="5"/>
  <c r="H35" i="5"/>
  <c r="K35" i="5" s="1"/>
  <c r="H33" i="5"/>
  <c r="K33" i="5" s="1"/>
  <c r="H34" i="5"/>
  <c r="G27" i="2" l="1"/>
  <c r="F27" i="2"/>
  <c r="K27" i="5"/>
  <c r="K26" i="5"/>
  <c r="H16" i="5"/>
  <c r="K16" i="5" s="1"/>
  <c r="K34" i="5"/>
  <c r="K40" i="5"/>
  <c r="K39" i="5"/>
  <c r="K38" i="5"/>
  <c r="H77" i="5"/>
  <c r="K77" i="5" s="1"/>
  <c r="H75" i="5"/>
  <c r="K75" i="5" s="1"/>
  <c r="H73" i="5"/>
  <c r="K73" i="5" s="1"/>
  <c r="D73" i="5"/>
  <c r="H72" i="5"/>
  <c r="K72" i="5" s="1"/>
  <c r="D72" i="5"/>
  <c r="H70" i="5"/>
  <c r="K70" i="5" s="1"/>
  <c r="H69" i="5"/>
  <c r="K69" i="5" s="1"/>
  <c r="H68" i="5"/>
  <c r="K68" i="5" s="1"/>
  <c r="H63" i="5"/>
  <c r="K63" i="5" s="1"/>
  <c r="H62" i="5"/>
  <c r="K62" i="5" s="1"/>
  <c r="H61" i="5"/>
  <c r="K61" i="5" s="1"/>
  <c r="H60" i="5"/>
  <c r="K60" i="5" s="1"/>
  <c r="H54" i="5"/>
  <c r="K54" i="5" s="1"/>
  <c r="H52" i="5"/>
  <c r="K52" i="5" s="1"/>
  <c r="H50" i="5"/>
  <c r="K50" i="5" s="1"/>
  <c r="H25" i="5"/>
  <c r="K25" i="5" s="1"/>
  <c r="H42" i="5"/>
  <c r="K42" i="5" s="1"/>
  <c r="H41" i="5"/>
  <c r="K41" i="5" s="1"/>
  <c r="H37" i="5"/>
  <c r="K37" i="5" s="1"/>
  <c r="K13" i="5"/>
  <c r="K12" i="5"/>
  <c r="K11" i="5"/>
  <c r="K9" i="5"/>
  <c r="K6" i="5"/>
  <c r="H7" i="5" l="1"/>
  <c r="K7" i="5" s="1"/>
  <c r="K24" i="5"/>
  <c r="H15" i="2" s="1"/>
  <c r="K49" i="5"/>
  <c r="H21" i="2" s="1"/>
  <c r="K67" i="5"/>
  <c r="H29" i="2" s="1"/>
  <c r="K59" i="5"/>
  <c r="H25" i="2" s="1"/>
  <c r="K71" i="5"/>
  <c r="H31" i="2" s="1"/>
  <c r="G31" i="2" s="1"/>
  <c r="K74" i="5"/>
  <c r="H33" i="2" s="1"/>
  <c r="K28" i="5"/>
  <c r="H17" i="2" s="1"/>
  <c r="K14" i="5"/>
  <c r="H11" i="2" s="1"/>
  <c r="G29" i="2" l="1"/>
  <c r="F29" i="2"/>
  <c r="E29" i="2"/>
  <c r="K5" i="5"/>
  <c r="K53" i="5"/>
  <c r="H23" i="2" s="1"/>
  <c r="D10" i="2" l="1"/>
  <c r="G10" i="2"/>
  <c r="C10" i="2"/>
  <c r="E10" i="2"/>
  <c r="H9" i="2"/>
  <c r="F10" i="2"/>
  <c r="K80" i="5"/>
  <c r="K26" i="2"/>
  <c r="F25" i="2"/>
  <c r="E25" i="2"/>
  <c r="D25" i="2"/>
  <c r="C25" i="2"/>
  <c r="L5" i="5" l="1"/>
  <c r="N80" i="5"/>
  <c r="O80" i="5" s="1"/>
  <c r="O81" i="5" s="1"/>
  <c r="L43" i="5"/>
  <c r="L71" i="5"/>
  <c r="L14" i="5"/>
  <c r="L59" i="5"/>
  <c r="L67" i="5"/>
  <c r="L49" i="5"/>
  <c r="L24" i="5"/>
  <c r="L22" i="5"/>
  <c r="L28" i="5"/>
  <c r="L74" i="5"/>
  <c r="L53" i="5"/>
  <c r="L64" i="5"/>
  <c r="I57" i="5" l="1"/>
  <c r="J57" i="5" s="1"/>
  <c r="J76" i="5"/>
  <c r="I58" i="5"/>
  <c r="J58" i="5" s="1"/>
  <c r="I56" i="5"/>
  <c r="J56" i="5" s="1"/>
  <c r="I55" i="5"/>
  <c r="J55" i="5" s="1"/>
  <c r="I77" i="5"/>
  <c r="J77" i="5" s="1"/>
  <c r="K81" i="5"/>
  <c r="I45" i="5"/>
  <c r="J45" i="5" s="1"/>
  <c r="I48" i="5"/>
  <c r="J48" i="5" s="1"/>
  <c r="I44" i="5"/>
  <c r="I46" i="5"/>
  <c r="J46" i="5" s="1"/>
  <c r="I20" i="5"/>
  <c r="J20" i="5" s="1"/>
  <c r="I65" i="5"/>
  <c r="I51" i="5"/>
  <c r="J51" i="5" s="1"/>
  <c r="I18" i="5"/>
  <c r="J18" i="5" s="1"/>
  <c r="I8" i="5"/>
  <c r="J8" i="5" s="1"/>
  <c r="I23" i="5"/>
  <c r="I30" i="5"/>
  <c r="I66" i="5"/>
  <c r="J66" i="5" s="1"/>
  <c r="I21" i="5"/>
  <c r="J21" i="5" s="1"/>
  <c r="I47" i="5"/>
  <c r="J47" i="5" s="1"/>
  <c r="I31" i="5"/>
  <c r="J31" i="5" s="1"/>
  <c r="I33" i="5"/>
  <c r="J33" i="5" s="1"/>
  <c r="I17" i="5"/>
  <c r="J17" i="5" s="1"/>
  <c r="I35" i="5"/>
  <c r="J35" i="5" s="1"/>
  <c r="I10" i="5"/>
  <c r="J10" i="5" s="1"/>
  <c r="I13" i="5"/>
  <c r="J13" i="5" s="1"/>
  <c r="I42" i="5"/>
  <c r="J42" i="5" s="1"/>
  <c r="I68" i="5"/>
  <c r="I16" i="5"/>
  <c r="I26" i="5"/>
  <c r="J26" i="5" s="1"/>
  <c r="I11" i="5"/>
  <c r="J11" i="5" s="1"/>
  <c r="I63" i="5"/>
  <c r="J63" i="5" s="1"/>
  <c r="I40" i="5"/>
  <c r="J40" i="5" s="1"/>
  <c r="I52" i="5"/>
  <c r="J52" i="5" s="1"/>
  <c r="I62" i="5"/>
  <c r="J62" i="5" s="1"/>
  <c r="I12" i="5"/>
  <c r="J12" i="5" s="1"/>
  <c r="I70" i="5"/>
  <c r="J70" i="5" s="1"/>
  <c r="I27" i="5"/>
  <c r="J27" i="5" s="1"/>
  <c r="I73" i="5"/>
  <c r="J73" i="5" s="1"/>
  <c r="I41" i="5"/>
  <c r="J41" i="5" s="1"/>
  <c r="I6" i="5"/>
  <c r="I34" i="5"/>
  <c r="J34" i="5" s="1"/>
  <c r="I38" i="5"/>
  <c r="J38" i="5" s="1"/>
  <c r="I60" i="5"/>
  <c r="I69" i="5"/>
  <c r="J69" i="5" s="1"/>
  <c r="I37" i="5"/>
  <c r="J37" i="5" s="1"/>
  <c r="I72" i="5"/>
  <c r="I9" i="5"/>
  <c r="J9" i="5" s="1"/>
  <c r="I61" i="5"/>
  <c r="J61" i="5" s="1"/>
  <c r="I25" i="5"/>
  <c r="I39" i="5"/>
  <c r="J39" i="5" s="1"/>
  <c r="I50" i="5"/>
  <c r="I54" i="5"/>
  <c r="J54" i="5" s="1"/>
  <c r="I75" i="5"/>
  <c r="I7" i="5"/>
  <c r="J7" i="5" s="1"/>
  <c r="J60" i="5" l="1"/>
  <c r="J59" i="5" s="1"/>
  <c r="I59" i="5"/>
  <c r="J75" i="5"/>
  <c r="J74" i="5" s="1"/>
  <c r="I74" i="5"/>
  <c r="J25" i="5"/>
  <c r="J24" i="5" s="1"/>
  <c r="I24" i="5"/>
  <c r="I14" i="5"/>
  <c r="J16" i="5"/>
  <c r="J14" i="5" s="1"/>
  <c r="J68" i="5"/>
  <c r="J67" i="5" s="1"/>
  <c r="I67" i="5"/>
  <c r="J30" i="5"/>
  <c r="J28" i="5" s="1"/>
  <c r="I28" i="5"/>
  <c r="J44" i="5"/>
  <c r="J43" i="5" s="1"/>
  <c r="I43" i="5"/>
  <c r="J50" i="5"/>
  <c r="J49" i="5" s="1"/>
  <c r="I49" i="5"/>
  <c r="J23" i="5"/>
  <c r="J22" i="5" s="1"/>
  <c r="I22" i="5"/>
  <c r="I5" i="5"/>
  <c r="J6" i="5"/>
  <c r="J5" i="5" s="1"/>
  <c r="J53" i="5"/>
  <c r="I53" i="5"/>
  <c r="I64" i="5"/>
  <c r="J65" i="5"/>
  <c r="J64" i="5" s="1"/>
  <c r="J72" i="5"/>
  <c r="J71" i="5" s="1"/>
  <c r="I71" i="5"/>
  <c r="G25" i="2"/>
  <c r="J80" i="5" l="1"/>
  <c r="J81" i="5" s="1"/>
  <c r="I80" i="5"/>
  <c r="I81" i="5" s="1"/>
  <c r="C41" i="3" l="1"/>
  <c r="C40" i="3"/>
  <c r="J40" i="3" s="1"/>
  <c r="E44" i="3" s="1"/>
  <c r="E27" i="3"/>
  <c r="K34" i="2" l="1"/>
  <c r="K24" i="2"/>
  <c r="K22" i="2"/>
  <c r="K20" i="2"/>
  <c r="K18" i="2"/>
  <c r="K16" i="2"/>
  <c r="K14" i="2"/>
  <c r="K12" i="2"/>
  <c r="G21" i="2" l="1"/>
  <c r="F21" i="2" l="1"/>
  <c r="F15" i="2"/>
  <c r="F23" i="2"/>
  <c r="F17" i="2"/>
  <c r="F11" i="2"/>
  <c r="F13" i="2"/>
  <c r="E33" i="2"/>
  <c r="D23" i="2"/>
  <c r="E23" i="2"/>
  <c r="D17" i="2"/>
  <c r="E17" i="2"/>
  <c r="E21" i="2"/>
  <c r="D33" i="2"/>
  <c r="C33" i="2"/>
  <c r="C23" i="2"/>
  <c r="C21" i="2"/>
  <c r="C17" i="2"/>
  <c r="C15" i="2"/>
  <c r="C13" i="2"/>
  <c r="D15" i="2" l="1"/>
  <c r="E15" i="2"/>
  <c r="G15" i="2"/>
  <c r="F9" i="2"/>
  <c r="F33" i="2"/>
  <c r="G33" i="2"/>
  <c r="G23" i="2"/>
  <c r="G17" i="2"/>
  <c r="C11" i="2"/>
  <c r="D11" i="2"/>
  <c r="G11" i="2"/>
  <c r="E11" i="2"/>
  <c r="G13" i="2"/>
  <c r="D13" i="2"/>
  <c r="E13" i="2"/>
  <c r="E9" i="2"/>
  <c r="C9" i="2"/>
  <c r="D9" i="2"/>
  <c r="G9" i="2"/>
  <c r="K10" i="2"/>
  <c r="F19" i="2"/>
  <c r="G19" i="2"/>
  <c r="C19" i="2"/>
  <c r="D19" i="2"/>
  <c r="H36" i="2"/>
  <c r="D36" i="2" l="1"/>
  <c r="C36" i="2"/>
  <c r="G36" i="2"/>
  <c r="E36" i="2"/>
  <c r="F36" i="2"/>
  <c r="I29" i="2"/>
  <c r="I27" i="2"/>
  <c r="I25" i="2"/>
  <c r="I31" i="2"/>
  <c r="I15" i="2"/>
  <c r="I13" i="2"/>
  <c r="I33" i="2"/>
  <c r="I21" i="2"/>
  <c r="I17" i="2"/>
  <c r="I9" i="2"/>
  <c r="I23" i="2"/>
  <c r="I11" i="2"/>
  <c r="I19" i="2"/>
  <c r="G37" i="2" l="1"/>
  <c r="G38" i="2"/>
  <c r="G39" i="2" s="1"/>
  <c r="C37" i="2"/>
  <c r="C38" i="2"/>
  <c r="C39" i="2" s="1"/>
  <c r="E37" i="2"/>
  <c r="E38" i="2"/>
  <c r="E39" i="2" s="1"/>
  <c r="F37" i="2"/>
  <c r="F38" i="2"/>
  <c r="F39" i="2" s="1"/>
  <c r="D37" i="2"/>
  <c r="D38" i="2"/>
  <c r="D39" i="2" s="1"/>
  <c r="C40" i="2"/>
  <c r="I36" i="2"/>
  <c r="D40" i="2" l="1"/>
  <c r="C41" i="2"/>
  <c r="D41" i="2" l="1"/>
  <c r="E40" i="2"/>
  <c r="F40" i="2" l="1"/>
  <c r="G40" i="2" s="1"/>
  <c r="E41" i="2"/>
  <c r="F41" i="2" l="1"/>
  <c r="G41" i="2" l="1"/>
  <c r="H40" i="2"/>
</calcChain>
</file>

<file path=xl/sharedStrings.xml><?xml version="1.0" encoding="utf-8"?>
<sst xmlns="http://schemas.openxmlformats.org/spreadsheetml/2006/main" count="372" uniqueCount="260">
  <si>
    <t>Bancos</t>
  </si>
  <si>
    <t>B.D.I.</t>
  </si>
  <si>
    <t>Encargos Sociais</t>
  </si>
  <si>
    <t>25,0%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</si>
  <si>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</si>
  <si>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</si>
  <si>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</si>
  <si>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</si>
  <si>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</si>
  <si>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</si>
  <si>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</si>
  <si>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</si>
  <si>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</si>
  <si>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</si>
  <si>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</si>
  <si>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SERVIÇOS PRELIMINARES</t>
  </si>
  <si>
    <t>SINAPI</t>
  </si>
  <si>
    <t>m²</t>
  </si>
  <si>
    <t xml:space="preserve"> 101133 </t>
  </si>
  <si>
    <t>m³</t>
  </si>
  <si>
    <t xml:space="preserve"> 98525 </t>
  </si>
  <si>
    <t xml:space="preserve"> 100978 </t>
  </si>
  <si>
    <t xml:space="preserve"> 95875 </t>
  </si>
  <si>
    <t>M3XKM</t>
  </si>
  <si>
    <t>SERVIÇOS TÉCNICOS</t>
  </si>
  <si>
    <t>m</t>
  </si>
  <si>
    <t xml:space="preserve"> 012072 </t>
  </si>
  <si>
    <t>SBC</t>
  </si>
  <si>
    <t xml:space="preserve"> 020004 </t>
  </si>
  <si>
    <t xml:space="preserve"> 01.17.051 </t>
  </si>
  <si>
    <t>UN</t>
  </si>
  <si>
    <t xml:space="preserve"> 96537 </t>
  </si>
  <si>
    <t>FABRICAÇÃO, MONTAGEM E DESMONTAGEM DE FÔRMA PARA BLOCO DE COROAMENTO, EM CHAPA DE MADEIRA COMPENSADA RESINADA, E=17 MM, 2 UTILIZAÇÕES. AF_06/2017</t>
  </si>
  <si>
    <t>KG</t>
  </si>
  <si>
    <t xml:space="preserve"> 11.16.080 </t>
  </si>
  <si>
    <t xml:space="preserve"> 11.01.350 </t>
  </si>
  <si>
    <t>MURO DE GABIÃO</t>
  </si>
  <si>
    <t xml:space="preserve"> 92743 </t>
  </si>
  <si>
    <t>MURO DE GABIÃO, ENCHIMENTO COM PEDRA DE MÃO TIPO RACHÃO, DE GRAVIDADE, COM GAIOLAS DE COMPRIMENTO IGUAL A 2 M, PARA MUROS COM ALTURA MENOR OU IGUAL A 4 M  FORNECIMENTO E EXECUÇÃO. AF_12/2015</t>
  </si>
  <si>
    <t>PREPARO DE FUNDO DE VALA COM LARGURA MENOR QUE 1,5 M (ACERTO DO SOLO NATURAL). AF_08/2020</t>
  </si>
  <si>
    <t>FORNECIMENTO E ASSENTAMENTO DE TUBOS</t>
  </si>
  <si>
    <t>M</t>
  </si>
  <si>
    <t xml:space="preserve"> 98405 </t>
  </si>
  <si>
    <t>BASE PARA POÇO DE VISITA CIRCULAR PARA  ESGOTO, EM ALVENARIA COM TIJOLOS CERÂMICOS MACIÇOS, DIÂMETRO INTERNO = 1,0 M, PROFUNDIDADE = 1,40 M, EXCLUINDO TAMPÃO. AF_12/2020_PA</t>
  </si>
  <si>
    <t xml:space="preserve"> 97983 </t>
  </si>
  <si>
    <t>ACRÉSCIMO PARA POÇO DE VISITA CIRCULAR PARA ESGOTO, EM CONCRETO PRÉ-MOLDADO, DIÂMETRO INTERNO = 1 M. AF_12/2020</t>
  </si>
  <si>
    <t xml:space="preserve"> 96385 </t>
  </si>
  <si>
    <t>EXECUÇÃO E COMPACTAÇÃO DE ATERRO COM SOLO PREDOMINANTEMENTE ARGILOSO - EXCLUSIVE SOLO, ESCAVAÇÃO, CARGA E TRANSPORTE. AF_11/2019</t>
  </si>
  <si>
    <t>TRANSPORTE COM CAMINHÃO BASCULANTE DE 10 M³, EM VIA URBANA PAVIMENTADA, DMT ATÉ 30 KM (UNIDADE: M3XKM). AF_07/2020</t>
  </si>
  <si>
    <t xml:space="preserve"> 100974 </t>
  </si>
  <si>
    <t>CARGA, MANOBRA E DESCARGA DE SOLOS E MATERIAIS GRANULARES EM CAMINHÃO BASCULANTE 10 M³ - CARGA COM PÁ CARREGADEIRA (CAÇAMBA DE 1,7 A 2,8 M³ / 128 HP) E DESCARGA LIVRE (UNIDADE: M3). AF_07/2020</t>
  </si>
  <si>
    <t xml:space="preserve"> 98504 </t>
  </si>
  <si>
    <t>PLANTIO DE GRAMA BATATAIS EM PLACAS. AF_05/2018</t>
  </si>
  <si>
    <t xml:space="preserve"> 98519 </t>
  </si>
  <si>
    <t>REVOLVIMENTO E LIMPEZA MANUAL DE SOLO. AF_05/2018</t>
  </si>
  <si>
    <t>DATA BASE:</t>
  </si>
  <si>
    <t>REVISÃO:</t>
  </si>
  <si>
    <t>Meses</t>
  </si>
  <si>
    <t>Total 
(C/ BDI)</t>
  </si>
  <si>
    <t>%</t>
  </si>
  <si>
    <t>Mês 01</t>
  </si>
  <si>
    <t>Mês 02</t>
  </si>
  <si>
    <t>Mês 03</t>
  </si>
  <si>
    <t>S U B T O T A L (com BDI)</t>
  </si>
  <si>
    <t>T O T A L   A C U M U L A D O (com BDI)</t>
  </si>
  <si>
    <t xml:space="preserve">CÁLCULO DO BDI  - Obras e Serviços  </t>
  </si>
  <si>
    <t>VALORES ADOTADOS:</t>
  </si>
  <si>
    <t>Min</t>
  </si>
  <si>
    <t>Médio</t>
  </si>
  <si>
    <t>Máx.</t>
  </si>
  <si>
    <t>AC</t>
  </si>
  <si>
    <t>ADMINISTRAÇÃO CENTRAL</t>
  </si>
  <si>
    <t>DF</t>
  </si>
  <si>
    <t>DESPESAS FINANCEIRAS</t>
  </si>
  <si>
    <t>S + G</t>
  </si>
  <si>
    <t>SEGUROS E GARANTIAS</t>
  </si>
  <si>
    <t>R</t>
  </si>
  <si>
    <t>RISCO</t>
  </si>
  <si>
    <t>ISS (PMNF)</t>
  </si>
  <si>
    <t>I</t>
  </si>
  <si>
    <t>PIS</t>
  </si>
  <si>
    <t>COFINS</t>
  </si>
  <si>
    <t>Desoneração</t>
  </si>
  <si>
    <t xml:space="preserve">TOTAL "C" = </t>
  </si>
  <si>
    <t>L</t>
  </si>
  <si>
    <t>LUCRO</t>
  </si>
  <si>
    <t>FÓRMULA DE CÁLCULO:</t>
  </si>
  <si>
    <t xml:space="preserve">BDI = </t>
  </si>
  <si>
    <t>(1 + AC + S + R + G) x (1 + DF) x (1 + L)</t>
  </si>
  <si>
    <t xml:space="preserve"> -</t>
  </si>
  <si>
    <t>x</t>
  </si>
  <si>
    <t>( 1 - I)</t>
  </si>
  <si>
    <t>CÁLCULO:</t>
  </si>
  <si>
    <t>BDI =</t>
  </si>
  <si>
    <t xml:space="preserve"> =</t>
  </si>
  <si>
    <t>O VALOR DO BDI ADOTADO É DE :</t>
  </si>
  <si>
    <r>
      <t xml:space="preserve">Os cálculos estão em conformidade ao </t>
    </r>
    <r>
      <rPr>
        <b/>
        <sz val="10"/>
        <color indexed="8"/>
        <rFont val="Calibri"/>
        <family val="2"/>
      </rPr>
      <t>" ACORDÃO Nº 2622/2013 - TCU - PLENÁRIO "</t>
    </r>
  </si>
  <si>
    <t>SABESP</t>
  </si>
  <si>
    <t>TELA PLASTICA TECIDA LISTRADA BRANCA E LARANJA, TIPO GUARDA CORPO, EM POLIETILENO MONOFILADO, ROLO 1,20 X 50 M (L X C)</t>
  </si>
  <si>
    <t>Mês 04</t>
  </si>
  <si>
    <t>Mês 05</t>
  </si>
  <si>
    <t xml:space="preserve">UN </t>
  </si>
  <si>
    <t>3.1</t>
  </si>
  <si>
    <t>Recurso 
FEHIDRO</t>
  </si>
  <si>
    <t>MOVIMENTAÇÃO DE TERRA</t>
  </si>
  <si>
    <t>BLOCOS DE COROAMENTO</t>
  </si>
  <si>
    <t>6.2</t>
  </si>
  <si>
    <t>15.03.030</t>
  </si>
  <si>
    <t>6.3</t>
  </si>
  <si>
    <t>6.1</t>
  </si>
  <si>
    <t>6.4</t>
  </si>
  <si>
    <t>6.5</t>
  </si>
  <si>
    <t>JUNTA ARGAMASSADA ENTRE TUBO DN 300 MM E O POÇO DE VISITA/ CAIXA DE CONCRETO OU ALVENARIA EM REDES DE ESGOTO. AF_01/2021</t>
  </si>
  <si>
    <t>TÊ BBB PVC RÍGIDO D=300 MM JE NBR 10569 COLETOR DE ESGOTO</t>
  </si>
  <si>
    <t>HM02024</t>
  </si>
  <si>
    <t>CURVA 90° PVC RÍGIDO D=300 MM PBJE COLETOR DE ESGOTO</t>
  </si>
  <si>
    <t>HM01971</t>
  </si>
  <si>
    <t>7.3</t>
  </si>
  <si>
    <t>M3</t>
  </si>
  <si>
    <t>CHAMINÉ CIRCULAR PARA POÇO DE VISITA PARA ESGOTO, EM CONCRETO PRÉ-MOLDADO, DIÂMETRO INTERNO = 0,6 M. AF_12/2020</t>
  </si>
  <si>
    <t>Obra:</t>
  </si>
  <si>
    <t>Contrapartida
SAAE</t>
  </si>
  <si>
    <t>SUBTOTAIS</t>
  </si>
  <si>
    <t>TOTAL GERAL</t>
  </si>
  <si>
    <t>RECONSTRUÇÃO DE TRAVESSIA AÉREA DE UM TRECHO DO COLETOR DE ESGOTO DA SERRINHA - TRECHO DA AVENIDA INTEGRAÇÃO ATÉ O COLETOR DE ESGOTO NA MARGEM ESQUERDA DO CÓRREGO DA ÁGUA QUENTE, BAIRRO CIDADE ARACY</t>
  </si>
  <si>
    <t>RESPONSÁVEL LEGAL (1)</t>
  </si>
  <si>
    <t xml:space="preserve">Responsável Técnico </t>
  </si>
  <si>
    <t>LIMPEZA MECANIZADA DE CAMADA VEGETAL, VEGETAÇÃO E PEQUENAS ÁRVORES (DIÂMETRO DE TRONCO MENOR QUE 0,20 M)</t>
  </si>
  <si>
    <t>10.1</t>
  </si>
  <si>
    <t>10.2</t>
  </si>
  <si>
    <t>SAAE</t>
  </si>
  <si>
    <t>COTAÇÃO 01</t>
  </si>
  <si>
    <t>COTAÇÃO 02</t>
  </si>
  <si>
    <t>ANEXO II - Planilha Orçamentária</t>
  </si>
  <si>
    <r>
      <t xml:space="preserve">ANEXO II-A
CRONOGRAMA FÍSICO-FINANCEIRO
</t>
    </r>
    <r>
      <rPr>
        <sz val="11"/>
        <rFont val="Arial"/>
        <family val="2"/>
      </rPr>
      <t xml:space="preserve">Evolução Física-Financeira da Obra e Cronograma Previsto de Desembolso
</t>
    </r>
  </si>
  <si>
    <t>ANEXO II-B 
  DEMONSTRATIVO DE BDI</t>
  </si>
  <si>
    <r>
      <t xml:space="preserve">CARGA, MANOBRA E DESCARGA DE SOLOS E MATERIAIS GRANULARES EM CAMINHÃO BASCULANTE 10 M³ - CARGA COM ESCAVADEIRA HIDRÁULICA (CAÇAMBA DE 1,20 M³ / 155 HP) E DESCARGA LIVRE (UNIDADE: M3). AF_07/2020 </t>
    </r>
    <r>
      <rPr>
        <b/>
        <sz val="10"/>
        <rFont val="Calibri"/>
        <family val="2"/>
        <scheme val="minor"/>
      </rPr>
      <t>(BORA FORA VEGETAÇÃO)</t>
    </r>
  </si>
  <si>
    <r>
      <t xml:space="preserve">TRANSPORTE COM CAMINHÃO BASCULANTE DE 10 M³, EM VIA URBANA PAVIMENTADA, DMT ATÉ 30 KM (UNIDADE: M3XKM). AF_07/2020 </t>
    </r>
    <r>
      <rPr>
        <b/>
        <sz val="10"/>
        <rFont val="Calibri"/>
        <family val="2"/>
        <scheme val="minor"/>
      </rPr>
      <t>(BORA FORA VEGETAÇÃO)</t>
    </r>
  </si>
  <si>
    <r>
      <t xml:space="preserve">LOCACAO DE ESTRUTURAS EM CONCRETO </t>
    </r>
    <r>
      <rPr>
        <b/>
        <sz val="10"/>
        <rFont val="Calibri"/>
        <family val="2"/>
        <scheme val="minor"/>
      </rPr>
      <t>(BLOCOS E ESTACAS)</t>
    </r>
  </si>
  <si>
    <r>
      <t xml:space="preserve">LOCACAO DE OBRA E DEMARCACAO </t>
    </r>
    <r>
      <rPr>
        <b/>
        <sz val="10"/>
        <rFont val="Calibri"/>
        <family val="2"/>
        <scheme val="minor"/>
      </rPr>
      <t>(GABIÃO)</t>
    </r>
  </si>
  <si>
    <r>
      <t xml:space="preserve">PROJETO EXECUTIVO DO MURO DE GRAVIDADE </t>
    </r>
    <r>
      <rPr>
        <b/>
        <sz val="10"/>
        <rFont val="Calibri"/>
        <family val="2"/>
        <scheme val="minor"/>
      </rPr>
      <t>(GABIÃO)</t>
    </r>
  </si>
  <si>
    <r>
      <t xml:space="preserve">LANÇAMENTO E ADENSAMENTO DE CONCRETO OU MASSA POR BOMBEAMENTO </t>
    </r>
    <r>
      <rPr>
        <b/>
        <sz val="10"/>
        <rFont val="Calibri"/>
        <family val="2"/>
        <scheme val="minor"/>
      </rPr>
      <t>(BLOCOS DE COROAMENTO)</t>
    </r>
  </si>
  <si>
    <r>
      <t xml:space="preserve">CONCRETO USINADO, FCK = 40 MPA - PARA BOMBEAMENTO </t>
    </r>
    <r>
      <rPr>
        <b/>
        <sz val="10"/>
        <rFont val="Calibri"/>
        <family val="2"/>
        <scheme val="minor"/>
      </rPr>
      <t>(BLOCOS DE COROAMENTO)</t>
    </r>
  </si>
  <si>
    <r>
      <t xml:space="preserve">PEÇA CIRCULAR PRÉ-MOLDADA, VOLUME DE CONCRETO DE 30 A 100 LITROS, TAXA DE AÇO APROXIMADA DE 30KG/M³. AF_03/2024 - </t>
    </r>
    <r>
      <rPr>
        <b/>
        <sz val="10"/>
        <rFont val="Calibri"/>
        <family val="2"/>
        <scheme val="minor"/>
      </rPr>
      <t>(TAMPÃO P.V. "BOLACHÃO" - DIÂM. 70CM, H=10CM)</t>
    </r>
  </si>
  <si>
    <t>01.17.061</t>
  </si>
  <si>
    <t>ESTACAS ESCAVADAS</t>
  </si>
  <si>
    <r>
      <t xml:space="preserve">PROJETO EXECUTIVO DE ESTRUTURA </t>
    </r>
    <r>
      <rPr>
        <b/>
        <sz val="10"/>
        <rFont val="Calibri"/>
        <family val="2"/>
        <scheme val="minor"/>
      </rPr>
      <t>(TRELIÇA METÁLICA)</t>
    </r>
  </si>
  <si>
    <t>EQD</t>
  </si>
  <si>
    <t>ELABORAÇÃO DE PROJETOS EXECUTIVOS</t>
  </si>
  <si>
    <r>
      <t xml:space="preserve">EQUIPE DE TOPOGRAFIA (SERVIÇOS PLANIALTIMÉTRICOS) </t>
    </r>
    <r>
      <rPr>
        <b/>
        <sz val="10"/>
        <rFont val="Calibri"/>
        <family val="2"/>
        <scheme val="minor"/>
      </rPr>
      <t>LOCAÇÃO DA TRELIÇA METÁLICA</t>
    </r>
  </si>
  <si>
    <t>LOCAÇÃO DAS ESTRUTURAS</t>
  </si>
  <si>
    <t>TAXA DE MOBILIZAÇÃO E DESMOBILIZAÇÃO DE EQUIPAMENTOS PARA EXECUÇÃO DE ESTACA ESCAVADA</t>
  </si>
  <si>
    <t>12.05.010</t>
  </si>
  <si>
    <t>TX</t>
  </si>
  <si>
    <t>ESTACA ESCAVADA MECANICAMENTE, DIÂMETRO DE 30 CM ATÉ 30 T</t>
  </si>
  <si>
    <t>12.05.030</t>
  </si>
  <si>
    <t>ARRASAMENTO MANUAL DE ESTACA DE CONCRETO ARMADO ATE 40CM</t>
  </si>
  <si>
    <t>031125</t>
  </si>
  <si>
    <t>M2</t>
  </si>
  <si>
    <t>LASTRO DE CONCRETO MAGRO, APLICADO EM BLOCOS DE COROAMENTO OU SAPATAS, ESPESSURA DE 5 CM. AF_01/2024</t>
  </si>
  <si>
    <t>ESTRUTURA EM TRELIÇA METÁLICA (TRAVESSIA AÉREA)</t>
  </si>
  <si>
    <t>FORNECIMENTO E MONTAGEM DE ESTRUTURA EM AÇO ASTM-A36, SEM PINTURA</t>
  </si>
  <si>
    <t>PINTURA COM TINTA ALQUÍDICA DE FUNDO (TIPO ZARCÃO) PULVERIZADA SOBRE PERFIL METÁLICO EXECUTADO EM FÁBRICA (POR DEMÃO). AF_01/2020_PE</t>
  </si>
  <si>
    <t>REF.
32.08.160</t>
  </si>
  <si>
    <t>REF.
014032</t>
  </si>
  <si>
    <r>
      <t xml:space="preserve">TRANSPORTE COM CAMINHÃO BASCULANTE DE 14 M³, EM VIA URBANA PAVIMENTADA, DMT ATÉ 30 KM (UNIDADE: M3XKM). AF_07/2020 </t>
    </r>
    <r>
      <rPr>
        <b/>
        <sz val="10"/>
        <rFont val="Calibri"/>
        <family val="2"/>
        <scheme val="minor"/>
      </rPr>
      <t>(DMT 30KM)</t>
    </r>
  </si>
  <si>
    <t>M3xKM</t>
  </si>
  <si>
    <r>
      <t xml:space="preserve">CARGA, MANOBRA E DESCARGA EM CAMINHÃO BASCULANTE 14 M³ - CARGA COM ESCAVADEIRA HIDRÁULICA (CAÇAMBA DE 0,80 M³ / 111 HP) E DESCARGA LIVRE (UNIDADE: M3). AF_07/2020 </t>
    </r>
    <r>
      <rPr>
        <b/>
        <sz val="10"/>
        <rFont val="Calibri"/>
        <family val="2"/>
        <scheme val="minor"/>
      </rPr>
      <t>(E=25%)</t>
    </r>
  </si>
  <si>
    <t>CPOS</t>
  </si>
  <si>
    <t>02.02.120</t>
  </si>
  <si>
    <t>LOCAÇÃO DE CONTAINER TIPO ALOJAMENTO - ÁREA MÍNIMA DE 13,80 M²</t>
  </si>
  <si>
    <t>UNMES</t>
  </si>
  <si>
    <t>2.1</t>
  </si>
  <si>
    <t>SEGURANÇA PATRIMONIAL</t>
  </si>
  <si>
    <t>2.2</t>
  </si>
  <si>
    <t>1.1</t>
  </si>
  <si>
    <t>1.2</t>
  </si>
  <si>
    <t>1.3</t>
  </si>
  <si>
    <t>1.4</t>
  </si>
  <si>
    <t>1.5</t>
  </si>
  <si>
    <t>1.6</t>
  </si>
  <si>
    <t>1.7</t>
  </si>
  <si>
    <t>1.8</t>
  </si>
  <si>
    <r>
      <t xml:space="preserve">FORNECIMENTO E INSTALAÇÃO DE PLACA DE OBRA COM CHAPA GALVANIZADA E ESTRUTURA DE MADEIRA. AF_03/2022_PS </t>
    </r>
    <r>
      <rPr>
        <b/>
        <sz val="10"/>
        <rFont val="Calibri"/>
        <family val="2"/>
        <scheme val="minor"/>
      </rPr>
      <t>(PLACA DE OBRA E PLACA CETESB)</t>
    </r>
  </si>
  <si>
    <t>07.12.040</t>
  </si>
  <si>
    <r>
      <t xml:space="preserve">ATERRO MECANIZADO POR COMPENSAÇÃO, SOLO DE 1ª CATEGORIA EM CAMPO ABERTO, SEM COMPACTAÇÃO DO ATERRO </t>
    </r>
    <r>
      <rPr>
        <b/>
        <sz val="10"/>
        <rFont val="Calibri"/>
        <family val="2"/>
        <scheme val="minor"/>
      </rPr>
      <t>(ATERRO DE ACESSO)</t>
    </r>
  </si>
  <si>
    <t>2.3</t>
  </si>
  <si>
    <t>2.5</t>
  </si>
  <si>
    <t>2.4</t>
  </si>
  <si>
    <t>MÊS</t>
  </si>
  <si>
    <t>VIGILANCIA DE OBRAS - VIGIA COM ENCARGOS COMPLEMENTARES</t>
  </si>
  <si>
    <t>4.1</t>
  </si>
  <si>
    <t>4.2</t>
  </si>
  <si>
    <t>4.3</t>
  </si>
  <si>
    <t>FUNDAÇÕES</t>
  </si>
  <si>
    <t>5.1</t>
  </si>
  <si>
    <t>5.2</t>
  </si>
  <si>
    <t>ESCAVAÇÃO MECANIZADA PARA BLOCO DE COROAMENTO (INCLUINDO ESCAVAÇÃO PARA COLOCAÇÃO DE FÔRMAS). AF_01/2024</t>
  </si>
  <si>
    <t>REATERRO MANUAL APILOADO SEM CONTROLE DE COMPACTAÇÃO</t>
  </si>
  <si>
    <t>06.11.040</t>
  </si>
  <si>
    <t>5.3</t>
  </si>
  <si>
    <t>5.4</t>
  </si>
  <si>
    <t>5.5</t>
  </si>
  <si>
    <t>ARMAÇÃO DE BLOCO UTILIZANDO AÇO CA-50 DE 6,3 MM - MONTAGEM. AF_01/2024</t>
  </si>
  <si>
    <t>ARMAÇÃO DE BLOCO UTILIZANDO AÇO CA-50 DE 12,5 MM - MONTAGEM. AF_01/2024</t>
  </si>
  <si>
    <t>5.6</t>
  </si>
  <si>
    <t>5.7</t>
  </si>
  <si>
    <t>5.8</t>
  </si>
  <si>
    <t>5.9</t>
  </si>
  <si>
    <t>5.10</t>
  </si>
  <si>
    <t>5.11</t>
  </si>
  <si>
    <t>PINTURA COM ESMALTE ALQUÍDICO EM ESTRUTURA METÁLICA</t>
  </si>
  <si>
    <t>33.07.140</t>
  </si>
  <si>
    <t>PROTEÇÃO DE ELASTÔMERO PARA TUBULAÇÃO - JUNTA ESLÁSTICA ESTRUTURAL DE NEOPRENE, CONFORME RECOMENDAÇÕES DO FABRICANTE</t>
  </si>
  <si>
    <t>7.1</t>
  </si>
  <si>
    <t>7.2</t>
  </si>
  <si>
    <t>ESCAVAÇÃO E PREPARO DO FUNDO DE VALA PARA ASSENTAMENTO DE TUBOS</t>
  </si>
  <si>
    <t>8.1</t>
  </si>
  <si>
    <t>8.2</t>
  </si>
  <si>
    <t>8.3</t>
  </si>
  <si>
    <t>8.4</t>
  </si>
  <si>
    <t>46.14.060</t>
  </si>
  <si>
    <t>46.05.070</t>
  </si>
  <si>
    <r>
      <t xml:space="preserve">TUBO DE FERRO FUNDIDO CLASSE K-7 COM JUNTA ELÁSTICA, DN= 300MM, INCLUSIVE CONEXÕES </t>
    </r>
    <r>
      <rPr>
        <b/>
        <sz val="10"/>
        <rFont val="Calibri"/>
        <family val="2"/>
        <scheme val="minor"/>
      </rPr>
      <t>(FORNECIMENTO E ASSENTAMENTO)</t>
    </r>
  </si>
  <si>
    <r>
      <t xml:space="preserve">TUBO PVC RÍGIDO, TIPO COLETOR ESGOTO, JUNTA ELÁSTICA, DN= 300 MM, INCLUSIVE CONEXÕES, </t>
    </r>
    <r>
      <rPr>
        <b/>
        <sz val="10"/>
        <rFont val="Calibri"/>
        <family val="2"/>
        <scheme val="minor"/>
      </rPr>
      <t>(FORNECIMENTO E ASSENTAMENTO)</t>
    </r>
  </si>
  <si>
    <t>8.5</t>
  </si>
  <si>
    <t>9.1</t>
  </si>
  <si>
    <t>9.2</t>
  </si>
  <si>
    <t>9.3</t>
  </si>
  <si>
    <t>9.4</t>
  </si>
  <si>
    <t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</si>
  <si>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>REATERRO MECANIZADO DE VALA COM RETROESCAVADEIRA (CAPACIDADE DA CAÇAMBA DA RETRO: 0,26 M³/POTÊNCIA: 88 HP), LARGURA ATÉ 0,8 M, PROFUNDIDADE ATÉ 1,5 M, COM SOLO (SEM SUBSTITUIÇÃO) DE 1ª CATEGORIA, COM COMPACTADOR DE SOLOS DE PERCUSSÃO. AF_08/2023</t>
  </si>
  <si>
    <t>ESCAVAÇÃO MECANIZADA DE VALA COM PROF. MAIOR QUE 1,5 M E ATÉ 3,0 M(MÉDIA MONTANTE E JUSANTE/UMA COMPOSIÇÃO POR TRECHO), ESCAVADEIRA (0,8 M3), LARG. MENOR QUE 1,5 M, EM SOLO DE 1A CATEGORIA, LOCAIS COM BAIXO NÍVEL DE INTERFERÊNCIA. AF_09/2024</t>
  </si>
  <si>
    <t>ESCAVAÇÃO MECANIZADA DE VALA COM PROF. ATÉ 1,5 M (MÉDIA MONTANTE E JUSANTE/UMA COMPOSIÇÃO POR TRECHO), ESCAVADEIRA (0,8 M3),LARG. MENOR QUE 1,5 M, EM SOLO DE 1A CATEGORIA, LOCAIS COM BAIXO NÍVEL DE INTERFERÊNCIA. AF_09/2024</t>
  </si>
  <si>
    <t>11.1</t>
  </si>
  <si>
    <t>11.2</t>
  </si>
  <si>
    <t>11.3</t>
  </si>
  <si>
    <t>12.1</t>
  </si>
  <si>
    <t>12.2</t>
  </si>
  <si>
    <t>13.1</t>
  </si>
  <si>
    <t>13.2</t>
  </si>
  <si>
    <t>FEHIDRO</t>
  </si>
  <si>
    <t>REV_03</t>
  </si>
  <si>
    <t>13.3</t>
  </si>
  <si>
    <t>CADASTRO DAS REDES E ESTRUTURAS EXECUTADAS (AS BUILT)</t>
  </si>
  <si>
    <t>POÇOS DE VISITA (PV)</t>
  </si>
  <si>
    <t>ATERRO DO TALUDE</t>
  </si>
  <si>
    <t>REATERRO DE VALA DOS  TUBOS ASSENTADOS</t>
  </si>
  <si>
    <t>SERVIÇOS COMPLEMENTARES</t>
  </si>
  <si>
    <t>ELABORAÇÃO DE VIDEO PUBLICITÁRIO E PRESS RELEASE</t>
  </si>
  <si>
    <r>
      <t xml:space="preserve">ESCAVAÇÃO HORIZONTAL, INCLUINDO ESCARIFICAÇÃO, CARGA E DESCARGA EM SOLO DE 2A CATEGORIA. AF_07/2020 </t>
    </r>
    <r>
      <rPr>
        <b/>
        <sz val="10"/>
        <rFont val="Calibri"/>
        <family val="2"/>
        <scheme val="minor"/>
      </rPr>
      <t>(ACESSO, TALUDES E CALHA DO CÓRREGO)</t>
    </r>
  </si>
  <si>
    <t>SINAPI - 03/2026 - São Paulo
SBC - 04/2026 - São Paulo
CPOS - 04/2026
SABESP - 09/2025
DER-SP - 01/2026</t>
  </si>
  <si>
    <t>CONTRAPARTIDA</t>
  </si>
  <si>
    <t>São Carlos, 20 de maio de 2026.</t>
  </si>
  <si>
    <t>logo da empresa</t>
  </si>
  <si>
    <t>TAXA DE MOBILIZAÇÃO, OPERAÇÃO E DESMOBILIZAÇÃO DE GUINDASTE AUTOPROPELIDO * 5T SOBRE PNEUS COM LANÇA TELESCÓPICA OU OUTRO COMPATÍVEL COM O SERVIÇO</t>
  </si>
  <si>
    <t>2) Devido à arredondamentos, será necessário fazer pequenos ajustes nos valores unitários para que o valor total fique igual ao do pregão eletrônico.</t>
  </si>
  <si>
    <t>Observações:</t>
  </si>
  <si>
    <t>obs: Preencher as células em destaque</t>
  </si>
  <si>
    <t>1) Aplicar o desconto dado no pregão eletrônico proporcional para cada item do valor unitário (Coluna G). As demais células são calculadas automaticamente.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</si>
</sst>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_(&quot;R$ &quot;* #,##0.00_);_(&quot;R$ &quot;* \(#,##0.00\);_(&quot;R$ &quot;* \-??_);_(@_)"/>
    <numFmt numFmtId="166" formatCode="_-[$R$-416]\ * #,##0.00_-;\-[$R$-416]\ * #,##0.00_-;_-[$R$-416]\ * &quot;-&quot;??_-;_-@_-"/>
    <numFmt numFmtId="167" formatCode="0.0000%"/>
  </numFmts>
  <fonts count="50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name val="Arial"/>
      <family val="1"/>
    </font>
    <font>
      <sz val="11"/>
      <name val="Arial"/>
      <family val="1"/>
    </font>
    <font>
      <b/>
      <sz val="16"/>
      <name val="Arial"/>
      <family val="1"/>
    </font>
    <font>
      <b/>
      <sz val="10"/>
      <name val="Cambria"/>
      <family val="1"/>
    </font>
    <font>
      <b/>
      <sz val="18"/>
      <name val="Cambria"/>
      <family val="1"/>
    </font>
    <font>
      <sz val="11"/>
      <name val="Arial"/>
      <family val="2"/>
    </font>
    <font>
      <b/>
      <sz val="11"/>
      <name val="Cambria"/>
      <family val="1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mbria"/>
      <family val="1"/>
    </font>
    <font>
      <b/>
      <sz val="12"/>
      <name val="Cambria"/>
      <family val="1"/>
    </font>
    <font>
      <sz val="10"/>
      <name val="Cambria"/>
      <family val="1"/>
    </font>
    <font>
      <i/>
      <sz val="10"/>
      <name val="Cambria"/>
      <family val="1"/>
    </font>
    <font>
      <b/>
      <sz val="10"/>
      <color theme="0"/>
      <name val="Cambria"/>
      <family val="1"/>
    </font>
    <font>
      <b/>
      <sz val="12"/>
      <color theme="0"/>
      <name val="Cambria"/>
      <family val="1"/>
    </font>
    <font>
      <sz val="10"/>
      <color theme="0"/>
      <name val="Cambria"/>
      <family val="1"/>
    </font>
    <font>
      <sz val="28"/>
      <color indexed="8"/>
      <name val="Arial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u/>
      <sz val="10"/>
      <color indexed="8"/>
      <name val="Calibri"/>
      <family val="2"/>
    </font>
    <font>
      <sz val="14"/>
      <color indexed="8"/>
      <name val="Calibri"/>
      <family val="2"/>
    </font>
    <font>
      <sz val="8"/>
      <color indexed="8"/>
      <name val="Arial"/>
      <family val="2"/>
    </font>
    <font>
      <sz val="11"/>
      <name val="Calibri"/>
      <family val="2"/>
      <scheme val="minor"/>
    </font>
    <font>
      <b/>
      <sz val="11"/>
      <color indexed="56"/>
      <name val="Verdana"/>
      <family val="2"/>
    </font>
    <font>
      <b/>
      <i/>
      <sz val="11"/>
      <color indexed="56"/>
      <name val="Verdana"/>
      <family val="2"/>
    </font>
    <font>
      <sz val="10"/>
      <color indexed="56"/>
      <name val="Verdana"/>
      <family val="2"/>
    </font>
    <font>
      <sz val="10"/>
      <color indexed="10"/>
      <name val="Verdana"/>
      <family val="2"/>
    </font>
    <font>
      <sz val="11"/>
      <color indexed="56"/>
      <name val="Verdana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Arial"/>
      <family val="1"/>
    </font>
    <font>
      <b/>
      <sz val="11"/>
      <name val="Arial"/>
      <family val="2"/>
    </font>
    <font>
      <b/>
      <sz val="10"/>
      <color rgb="FFFF0000"/>
      <name val="Arial"/>
      <family val="1"/>
    </font>
    <font>
      <sz val="12"/>
      <name val="Arial"/>
      <family val="1"/>
    </font>
    <font>
      <b/>
      <sz val="1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/>
      <right style="thin">
        <color auto="1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 style="thin">
        <color indexed="64"/>
      </bottom>
      <diagonal/>
    </border>
    <border>
      <left/>
      <right style="thin">
        <color rgb="FFCCCCCC"/>
      </right>
      <top style="thin">
        <color auto="1"/>
      </top>
      <bottom/>
      <diagonal/>
    </border>
    <border>
      <left/>
      <right style="thin">
        <color rgb="FFCCCCCC"/>
      </right>
      <top/>
      <bottom/>
      <diagonal/>
    </border>
    <border>
      <left/>
      <right style="thin">
        <color rgb="FFCCCCCC"/>
      </right>
      <top/>
      <bottom style="thin">
        <color auto="1"/>
      </bottom>
      <diagonal/>
    </border>
    <border>
      <left style="thin">
        <color auto="1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B2B2B2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4" fillId="16" borderId="0" applyNumberFormat="0" applyBorder="0" applyAlignment="0" applyProtection="0"/>
    <xf numFmtId="0" fontId="4" fillId="17" borderId="53" applyNumberFormat="0" applyFont="0" applyAlignment="0" applyProtection="0"/>
  </cellStyleXfs>
  <cellXfs count="265">
    <xf numFmtId="0" fontId="0" fillId="0" borderId="0" xfId="0"/>
    <xf numFmtId="0" fontId="2" fillId="2" borderId="3" xfId="0" applyFont="1" applyFill="1" applyBorder="1" applyAlignment="1">
      <alignment horizontal="left" vertical="top" wrapText="1"/>
    </xf>
    <xf numFmtId="17" fontId="12" fillId="0" borderId="16" xfId="0" quotePrefix="1" applyNumberFormat="1" applyFont="1" applyBorder="1" applyAlignment="1">
      <alignment horizontal="center" vertical="center" wrapText="1"/>
    </xf>
    <xf numFmtId="0" fontId="12" fillId="0" borderId="16" xfId="0" quotePrefix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44" fontId="6" fillId="0" borderId="14" xfId="2" applyFont="1" applyFill="1" applyBorder="1" applyAlignment="1" applyProtection="1">
      <alignment horizontal="center" vertical="center"/>
    </xf>
    <xf numFmtId="0" fontId="15" fillId="0" borderId="0" xfId="0" applyFont="1"/>
    <xf numFmtId="10" fontId="16" fillId="0" borderId="16" xfId="3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left" vertical="center"/>
    </xf>
    <xf numFmtId="9" fontId="15" fillId="0" borderId="0" xfId="3" applyFont="1" applyBorder="1" applyAlignment="1" applyProtection="1">
      <alignment horizontal="center" vertical="center"/>
    </xf>
    <xf numFmtId="44" fontId="6" fillId="0" borderId="0" xfId="2" applyFont="1" applyBorder="1" applyAlignment="1" applyProtection="1">
      <alignment horizontal="center" vertical="center"/>
    </xf>
    <xf numFmtId="10" fontId="6" fillId="0" borderId="0" xfId="3" applyNumberFormat="1" applyFont="1" applyBorder="1" applyAlignment="1" applyProtection="1">
      <alignment horizontal="center" vertical="center"/>
    </xf>
    <xf numFmtId="165" fontId="17" fillId="13" borderId="17" xfId="0" applyNumberFormat="1" applyFont="1" applyFill="1" applyBorder="1" applyAlignment="1">
      <alignment vertical="center"/>
    </xf>
    <xf numFmtId="10" fontId="19" fillId="13" borderId="19" xfId="3" applyNumberFormat="1" applyFont="1" applyFill="1" applyBorder="1" applyAlignment="1" applyProtection="1">
      <alignment horizontal="center" vertical="center"/>
    </xf>
    <xf numFmtId="165" fontId="6" fillId="0" borderId="20" xfId="0" applyNumberFormat="1" applyFont="1" applyFill="1" applyBorder="1" applyAlignment="1">
      <alignment vertical="center"/>
    </xf>
    <xf numFmtId="10" fontId="15" fillId="0" borderId="19" xfId="3" applyNumberFormat="1" applyFont="1" applyFill="1" applyBorder="1" applyAlignment="1" applyProtection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22" fillId="0" borderId="24" xfId="4" applyFont="1" applyBorder="1" applyAlignment="1">
      <alignment vertical="center"/>
    </xf>
    <xf numFmtId="0" fontId="22" fillId="0" borderId="25" xfId="4" applyFont="1" applyBorder="1" applyAlignment="1">
      <alignment vertical="center"/>
    </xf>
    <xf numFmtId="0" fontId="22" fillId="0" borderId="0" xfId="4" applyFont="1" applyAlignment="1">
      <alignment vertical="center"/>
    </xf>
    <xf numFmtId="0" fontId="23" fillId="0" borderId="0" xfId="4" applyFont="1"/>
    <xf numFmtId="0" fontId="24" fillId="0" borderId="0" xfId="4" applyFont="1" applyAlignment="1">
      <alignment vertical="center"/>
    </xf>
    <xf numFmtId="0" fontId="23" fillId="0" borderId="0" xfId="4" applyFont="1" applyAlignment="1"/>
    <xf numFmtId="0" fontId="22" fillId="0" borderId="0" xfId="4" applyFont="1" applyAlignment="1">
      <alignment horizontal="center"/>
    </xf>
    <xf numFmtId="0" fontId="24" fillId="0" borderId="0" xfId="4" applyFont="1" applyAlignment="1">
      <alignment horizontal="center" vertical="center"/>
    </xf>
    <xf numFmtId="0" fontId="22" fillId="0" borderId="28" xfId="4" applyFont="1" applyBorder="1" applyAlignment="1">
      <alignment vertical="center"/>
    </xf>
    <xf numFmtId="0" fontId="22" fillId="0" borderId="29" xfId="4" applyFont="1" applyBorder="1" applyAlignment="1">
      <alignment vertical="center"/>
    </xf>
    <xf numFmtId="0" fontId="24" fillId="0" borderId="29" xfId="4" applyFont="1" applyBorder="1" applyAlignment="1">
      <alignment horizontal="right" vertical="center"/>
    </xf>
    <xf numFmtId="0" fontId="22" fillId="0" borderId="31" xfId="4" applyFont="1" applyBorder="1" applyAlignment="1">
      <alignment vertical="center"/>
    </xf>
    <xf numFmtId="0" fontId="23" fillId="0" borderId="24" xfId="4" applyFont="1" applyBorder="1" applyAlignment="1"/>
    <xf numFmtId="10" fontId="22" fillId="0" borderId="0" xfId="4" applyNumberFormat="1" applyFont="1" applyAlignment="1">
      <alignment horizontal="center"/>
    </xf>
    <xf numFmtId="0" fontId="22" fillId="0" borderId="21" xfId="4" applyFont="1" applyBorder="1" applyAlignment="1">
      <alignment horizontal="center" vertical="center"/>
    </xf>
    <xf numFmtId="0" fontId="22" fillId="0" borderId="22" xfId="4" applyFont="1" applyBorder="1" applyAlignment="1">
      <alignment horizontal="center" vertical="center"/>
    </xf>
    <xf numFmtId="0" fontId="25" fillId="0" borderId="22" xfId="4" applyFont="1" applyBorder="1" applyAlignment="1">
      <alignment horizontal="right" vertical="center"/>
    </xf>
    <xf numFmtId="0" fontId="22" fillId="0" borderId="23" xfId="4" applyFont="1" applyBorder="1" applyAlignment="1">
      <alignment vertical="center"/>
    </xf>
    <xf numFmtId="0" fontId="22" fillId="0" borderId="24" xfId="4" applyFont="1" applyBorder="1" applyAlignment="1">
      <alignment horizontal="center" vertical="center"/>
    </xf>
    <xf numFmtId="0" fontId="25" fillId="0" borderId="0" xfId="4" applyFont="1" applyAlignment="1">
      <alignment horizontal="right" vertical="center"/>
    </xf>
    <xf numFmtId="0" fontId="24" fillId="0" borderId="28" xfId="4" applyFont="1" applyBorder="1" applyAlignment="1">
      <alignment horizontal="right" vertical="center"/>
    </xf>
    <xf numFmtId="0" fontId="22" fillId="0" borderId="29" xfId="4" applyFont="1" applyBorder="1" applyAlignment="1">
      <alignment horizontal="right" vertical="center"/>
    </xf>
    <xf numFmtId="0" fontId="22" fillId="0" borderId="21" xfId="4" applyFont="1" applyBorder="1" applyAlignment="1">
      <alignment vertical="center"/>
    </xf>
    <xf numFmtId="0" fontId="22" fillId="0" borderId="22" xfId="4" applyFont="1" applyBorder="1" applyAlignment="1">
      <alignment vertical="center"/>
    </xf>
    <xf numFmtId="0" fontId="24" fillId="0" borderId="24" xfId="4" applyFont="1" applyBorder="1" applyAlignment="1">
      <alignment vertical="center"/>
    </xf>
    <xf numFmtId="0" fontId="26" fillId="0" borderId="0" xfId="4" applyFont="1" applyAlignment="1">
      <alignment horizontal="center" vertical="center"/>
    </xf>
    <xf numFmtId="0" fontId="27" fillId="0" borderId="0" xfId="4" applyFont="1" applyAlignment="1">
      <alignment vertical="center"/>
    </xf>
    <xf numFmtId="0" fontId="22" fillId="0" borderId="0" xfId="4" applyFont="1" applyAlignment="1">
      <alignment horizontal="center" vertical="center"/>
    </xf>
    <xf numFmtId="0" fontId="22" fillId="0" borderId="26" xfId="4" applyFont="1" applyBorder="1" applyAlignment="1">
      <alignment vertical="center"/>
    </xf>
    <xf numFmtId="0" fontId="22" fillId="0" borderId="13" xfId="4" applyFont="1" applyBorder="1" applyAlignment="1">
      <alignment vertical="center"/>
    </xf>
    <xf numFmtId="0" fontId="22" fillId="0" borderId="27" xfId="4" applyFont="1" applyBorder="1" applyAlignment="1">
      <alignment vertical="center"/>
    </xf>
    <xf numFmtId="0" fontId="28" fillId="0" borderId="11" xfId="4" applyFont="1" applyBorder="1" applyAlignment="1">
      <alignment horizontal="center"/>
    </xf>
    <xf numFmtId="4" fontId="24" fillId="0" borderId="0" xfId="4" applyNumberFormat="1" applyFont="1" applyAlignment="1">
      <alignment horizontal="right" vertical="center"/>
    </xf>
    <xf numFmtId="0" fontId="21" fillId="0" borderId="0" xfId="4" applyFont="1" applyAlignment="1">
      <alignment horizontal="right" vertical="center"/>
    </xf>
    <xf numFmtId="4" fontId="21" fillId="0" borderId="0" xfId="4" applyNumberFormat="1" applyFont="1" applyAlignment="1">
      <alignment vertical="center"/>
    </xf>
    <xf numFmtId="0" fontId="2" fillId="6" borderId="2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4" xfId="0" applyFont="1" applyBorder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3" fillId="11" borderId="0" xfId="0" applyFont="1" applyFill="1" applyBorder="1" applyAlignment="1">
      <alignment horizontal="center" vertical="top" wrapText="1"/>
    </xf>
    <xf numFmtId="0" fontId="30" fillId="0" borderId="0" xfId="0" applyFont="1" applyBorder="1" applyAlignment="1">
      <alignment horizontal="center"/>
    </xf>
    <xf numFmtId="2" fontId="31" fillId="0" borderId="0" xfId="0" applyNumberFormat="1" applyFont="1" applyBorder="1" applyAlignment="1">
      <alignment horizontal="center"/>
    </xf>
    <xf numFmtId="2" fontId="31" fillId="0" borderId="0" xfId="0" applyNumberFormat="1" applyFont="1" applyBorder="1" applyAlignment="1">
      <alignment horizontal="left"/>
    </xf>
    <xf numFmtId="2" fontId="31" fillId="0" borderId="0" xfId="0" applyNumberFormat="1" applyFont="1" applyFill="1" applyBorder="1" applyAlignment="1">
      <alignment horizontal="center"/>
    </xf>
    <xf numFmtId="0" fontId="32" fillId="0" borderId="0" xfId="0" applyFont="1"/>
    <xf numFmtId="0" fontId="33" fillId="0" borderId="49" xfId="0" applyFont="1" applyBorder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2" fillId="0" borderId="50" xfId="0" applyFont="1" applyBorder="1"/>
    <xf numFmtId="0" fontId="30" fillId="0" borderId="0" xfId="0" applyFont="1" applyAlignment="1">
      <alignment horizontal="center"/>
    </xf>
    <xf numFmtId="0" fontId="30" fillId="0" borderId="0" xfId="0" applyFont="1"/>
    <xf numFmtId="2" fontId="34" fillId="0" borderId="0" xfId="0" applyNumberFormat="1" applyFont="1"/>
    <xf numFmtId="2" fontId="3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/>
    <xf numFmtId="43" fontId="15" fillId="0" borderId="0" xfId="1" applyFont="1" applyBorder="1" applyAlignment="1" applyProtection="1">
      <alignment horizontal="center" vertical="center"/>
    </xf>
    <xf numFmtId="0" fontId="32" fillId="0" borderId="0" xfId="0" applyFont="1" applyBorder="1"/>
    <xf numFmtId="2" fontId="30" fillId="0" borderId="0" xfId="0" applyNumberFormat="1" applyFont="1" applyBorder="1" applyAlignment="1"/>
    <xf numFmtId="0" fontId="32" fillId="0" borderId="0" xfId="0" applyFont="1" applyBorder="1" applyAlignment="1"/>
    <xf numFmtId="43" fontId="15" fillId="0" borderId="52" xfId="1" applyFont="1" applyBorder="1" applyAlignment="1" applyProtection="1">
      <alignment horizontal="center" vertical="center"/>
    </xf>
    <xf numFmtId="44" fontId="0" fillId="0" borderId="0" xfId="0" applyNumberFormat="1" applyFont="1"/>
    <xf numFmtId="0" fontId="3" fillId="10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0" fillId="0" borderId="0" xfId="0" applyFont="1" applyAlignment="1">
      <alignment horizontal="center"/>
    </xf>
    <xf numFmtId="0" fontId="32" fillId="0" borderId="0" xfId="0" applyFont="1" applyBorder="1" applyAlignment="1">
      <alignment horizontal="center"/>
    </xf>
    <xf numFmtId="0" fontId="35" fillId="7" borderId="32" xfId="0" applyNumberFormat="1" applyFont="1" applyFill="1" applyBorder="1" applyAlignment="1">
      <alignment horizontal="left" vertical="top" wrapText="1"/>
    </xf>
    <xf numFmtId="0" fontId="35" fillId="7" borderId="33" xfId="0" applyFont="1" applyFill="1" applyBorder="1" applyAlignment="1">
      <alignment horizontal="left" vertical="top" wrapText="1"/>
    </xf>
    <xf numFmtId="0" fontId="35" fillId="8" borderId="33" xfId="0" applyFont="1" applyFill="1" applyBorder="1" applyAlignment="1">
      <alignment horizontal="right" vertical="top" wrapText="1"/>
    </xf>
    <xf numFmtId="44" fontId="35" fillId="9" borderId="33" xfId="2" applyFont="1" applyFill="1" applyBorder="1" applyAlignment="1">
      <alignment horizontal="right" vertical="top" wrapText="1"/>
    </xf>
    <xf numFmtId="44" fontId="36" fillId="9" borderId="33" xfId="2" applyFont="1" applyFill="1" applyBorder="1" applyAlignment="1">
      <alignment horizontal="right" vertical="top" wrapText="1"/>
    </xf>
    <xf numFmtId="10" fontId="35" fillId="9" borderId="34" xfId="3" applyNumberFormat="1" applyFont="1" applyFill="1" applyBorder="1" applyAlignment="1">
      <alignment horizontal="right" vertical="top" wrapText="1"/>
    </xf>
    <xf numFmtId="0" fontId="37" fillId="0" borderId="8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right" vertical="top" wrapText="1"/>
    </xf>
    <xf numFmtId="0" fontId="37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center" vertical="top" wrapText="1"/>
    </xf>
    <xf numFmtId="43" fontId="37" fillId="0" borderId="1" xfId="1" applyFont="1" applyFill="1" applyBorder="1" applyAlignment="1">
      <alignment horizontal="right" vertical="top" wrapText="1"/>
    </xf>
    <xf numFmtId="44" fontId="37" fillId="0" borderId="1" xfId="2" applyFont="1" applyFill="1" applyBorder="1" applyAlignment="1">
      <alignment horizontal="right" vertical="top" wrapText="1"/>
    </xf>
    <xf numFmtId="44" fontId="37" fillId="0" borderId="36" xfId="2" applyFont="1" applyFill="1" applyBorder="1" applyAlignment="1">
      <alignment horizontal="right" vertical="top" wrapText="1"/>
    </xf>
    <xf numFmtId="164" fontId="37" fillId="0" borderId="9" xfId="0" applyNumberFormat="1" applyFont="1" applyFill="1" applyBorder="1" applyAlignment="1">
      <alignment horizontal="right" vertical="top" wrapText="1"/>
    </xf>
    <xf numFmtId="0" fontId="35" fillId="7" borderId="8" xfId="0" applyNumberFormat="1" applyFont="1" applyFill="1" applyBorder="1" applyAlignment="1">
      <alignment horizontal="left" vertical="top" wrapText="1"/>
    </xf>
    <xf numFmtId="0" fontId="35" fillId="7" borderId="1" xfId="0" applyFont="1" applyFill="1" applyBorder="1" applyAlignment="1">
      <alignment horizontal="left" vertical="top" wrapText="1"/>
    </xf>
    <xf numFmtId="43" fontId="35" fillId="8" borderId="1" xfId="1" applyFont="1" applyFill="1" applyBorder="1" applyAlignment="1">
      <alignment horizontal="right" vertical="top" wrapText="1"/>
    </xf>
    <xf numFmtId="44" fontId="35" fillId="9" borderId="1" xfId="2" applyFont="1" applyFill="1" applyBorder="1" applyAlignment="1">
      <alignment horizontal="right" vertical="top" wrapText="1"/>
    </xf>
    <xf numFmtId="44" fontId="36" fillId="9" borderId="1" xfId="2" applyFont="1" applyFill="1" applyBorder="1" applyAlignment="1">
      <alignment horizontal="right" vertical="top" wrapText="1"/>
    </xf>
    <xf numFmtId="10" fontId="35" fillId="9" borderId="9" xfId="3" applyNumberFormat="1" applyFont="1" applyFill="1" applyBorder="1" applyAlignment="1">
      <alignment horizontal="right" vertical="top" wrapText="1"/>
    </xf>
    <xf numFmtId="43" fontId="37" fillId="0" borderId="1" xfId="1" applyNumberFormat="1" applyFont="1" applyFill="1" applyBorder="1" applyAlignment="1">
      <alignment horizontal="right" vertical="top" wrapText="1"/>
    </xf>
    <xf numFmtId="0" fontId="37" fillId="0" borderId="47" xfId="0" applyFont="1" applyFill="1" applyBorder="1" applyAlignment="1">
      <alignment horizontal="left" vertical="top" wrapText="1"/>
    </xf>
    <xf numFmtId="0" fontId="37" fillId="0" borderId="48" xfId="0" applyFont="1" applyFill="1" applyBorder="1" applyAlignment="1">
      <alignment horizontal="right" vertical="top" wrapText="1"/>
    </xf>
    <xf numFmtId="0" fontId="37" fillId="0" borderId="48" xfId="0" applyFont="1" applyFill="1" applyBorder="1" applyAlignment="1">
      <alignment horizontal="left" vertical="top" wrapText="1"/>
    </xf>
    <xf numFmtId="43" fontId="37" fillId="0" borderId="48" xfId="1" applyFont="1" applyFill="1" applyBorder="1" applyAlignment="1">
      <alignment horizontal="right" vertical="top" wrapText="1"/>
    </xf>
    <xf numFmtId="44" fontId="37" fillId="0" borderId="48" xfId="2" applyFont="1" applyFill="1" applyBorder="1" applyAlignment="1">
      <alignment horizontal="right" vertical="top" wrapText="1"/>
    </xf>
    <xf numFmtId="164" fontId="37" fillId="0" borderId="39" xfId="0" applyNumberFormat="1" applyFont="1" applyFill="1" applyBorder="1" applyAlignment="1">
      <alignment horizontal="right" vertical="top" wrapText="1"/>
    </xf>
    <xf numFmtId="0" fontId="37" fillId="0" borderId="48" xfId="0" applyFont="1" applyFill="1" applyBorder="1" applyAlignment="1">
      <alignment horizontal="center" vertical="top" wrapText="1"/>
    </xf>
    <xf numFmtId="0" fontId="37" fillId="0" borderId="37" xfId="0" applyFont="1" applyFill="1" applyBorder="1" applyAlignment="1">
      <alignment horizontal="left" vertical="top" wrapText="1"/>
    </xf>
    <xf numFmtId="0" fontId="37" fillId="0" borderId="37" xfId="0" applyFont="1" applyFill="1" applyBorder="1" applyAlignment="1">
      <alignment horizontal="right" vertical="top" wrapText="1"/>
    </xf>
    <xf numFmtId="0" fontId="37" fillId="0" borderId="37" xfId="0" applyFont="1" applyFill="1" applyBorder="1" applyAlignment="1">
      <alignment horizontal="center" vertical="top" wrapText="1"/>
    </xf>
    <xf numFmtId="43" fontId="37" fillId="0" borderId="37" xfId="1" applyFont="1" applyFill="1" applyBorder="1" applyAlignment="1">
      <alignment horizontal="right" vertical="top" wrapText="1"/>
    </xf>
    <xf numFmtId="44" fontId="37" fillId="0" borderId="37" xfId="2" applyFont="1" applyFill="1" applyBorder="1" applyAlignment="1">
      <alignment horizontal="right" vertical="top" wrapText="1"/>
    </xf>
    <xf numFmtId="164" fontId="37" fillId="0" borderId="37" xfId="0" applyNumberFormat="1" applyFont="1" applyFill="1" applyBorder="1" applyAlignment="1">
      <alignment horizontal="right" vertical="top" wrapText="1"/>
    </xf>
    <xf numFmtId="44" fontId="39" fillId="0" borderId="36" xfId="2" applyFont="1" applyFill="1" applyBorder="1" applyAlignment="1">
      <alignment horizontal="right" vertical="top" wrapText="1"/>
    </xf>
    <xf numFmtId="10" fontId="41" fillId="0" borderId="38" xfId="3" applyNumberFormat="1" applyFont="1" applyFill="1" applyBorder="1" applyAlignment="1">
      <alignment horizontal="center" vertical="top" wrapText="1"/>
    </xf>
    <xf numFmtId="43" fontId="0" fillId="0" borderId="0" xfId="1" applyFont="1"/>
    <xf numFmtId="0" fontId="37" fillId="14" borderId="8" xfId="0" applyFont="1" applyFill="1" applyBorder="1" applyAlignment="1">
      <alignment horizontal="left" vertical="top" wrapText="1"/>
    </xf>
    <xf numFmtId="0" fontId="37" fillId="14" borderId="1" xfId="0" applyFont="1" applyFill="1" applyBorder="1" applyAlignment="1">
      <alignment horizontal="right" vertical="top" wrapText="1"/>
    </xf>
    <xf numFmtId="0" fontId="37" fillId="14" borderId="1" xfId="0" applyFont="1" applyFill="1" applyBorder="1" applyAlignment="1">
      <alignment horizontal="left" vertical="top" wrapText="1"/>
    </xf>
    <xf numFmtId="0" fontId="37" fillId="14" borderId="1" xfId="0" applyFont="1" applyFill="1" applyBorder="1" applyAlignment="1">
      <alignment horizontal="center" vertical="top" wrapText="1"/>
    </xf>
    <xf numFmtId="43" fontId="37" fillId="14" borderId="1" xfId="1" applyFont="1" applyFill="1" applyBorder="1" applyAlignment="1">
      <alignment horizontal="right" vertical="top" wrapText="1"/>
    </xf>
    <xf numFmtId="44" fontId="37" fillId="14" borderId="1" xfId="2" applyFont="1" applyFill="1" applyBorder="1" applyAlignment="1">
      <alignment horizontal="right" vertical="top" wrapText="1"/>
    </xf>
    <xf numFmtId="44" fontId="37" fillId="14" borderId="36" xfId="2" applyFont="1" applyFill="1" applyBorder="1" applyAlignment="1">
      <alignment horizontal="right" vertical="top" wrapText="1"/>
    </xf>
    <xf numFmtId="164" fontId="37" fillId="14" borderId="9" xfId="0" applyNumberFormat="1" applyFont="1" applyFill="1" applyBorder="1" applyAlignment="1">
      <alignment horizontal="right" vertical="top" wrapText="1"/>
    </xf>
    <xf numFmtId="0" fontId="37" fillId="15" borderId="1" xfId="0" applyFont="1" applyFill="1" applyBorder="1" applyAlignment="1">
      <alignment horizontal="right" vertical="top" wrapText="1"/>
    </xf>
    <xf numFmtId="0" fontId="37" fillId="15" borderId="1" xfId="0" applyFont="1" applyFill="1" applyBorder="1" applyAlignment="1">
      <alignment horizontal="left" vertical="top" wrapText="1"/>
    </xf>
    <xf numFmtId="0" fontId="37" fillId="15" borderId="1" xfId="0" applyFont="1" applyFill="1" applyBorder="1" applyAlignment="1">
      <alignment horizontal="center" vertical="top" wrapText="1"/>
    </xf>
    <xf numFmtId="44" fontId="37" fillId="15" borderId="1" xfId="2" applyFont="1" applyFill="1" applyBorder="1" applyAlignment="1">
      <alignment horizontal="right" vertical="top" wrapText="1"/>
    </xf>
    <xf numFmtId="164" fontId="37" fillId="15" borderId="9" xfId="0" applyNumberFormat="1" applyFont="1" applyFill="1" applyBorder="1" applyAlignment="1">
      <alignment horizontal="right" vertical="top" wrapText="1"/>
    </xf>
    <xf numFmtId="0" fontId="35" fillId="14" borderId="1" xfId="0" applyFont="1" applyFill="1" applyBorder="1" applyAlignment="1">
      <alignment horizontal="left" vertical="top" wrapText="1"/>
    </xf>
    <xf numFmtId="0" fontId="42" fillId="14" borderId="8" xfId="0" applyFont="1" applyFill="1" applyBorder="1" applyAlignment="1">
      <alignment horizontal="left" vertical="top" wrapText="1"/>
    </xf>
    <xf numFmtId="0" fontId="29" fillId="14" borderId="0" xfId="0" applyFont="1" applyFill="1"/>
    <xf numFmtId="0" fontId="43" fillId="10" borderId="0" xfId="0" applyFont="1" applyFill="1" applyBorder="1" applyAlignment="1">
      <alignment horizontal="left" vertical="top" wrapText="1"/>
    </xf>
    <xf numFmtId="0" fontId="43" fillId="10" borderId="0" xfId="0" applyFont="1" applyFill="1" applyBorder="1" applyAlignment="1">
      <alignment vertical="top" wrapText="1"/>
    </xf>
    <xf numFmtId="0" fontId="2" fillId="12" borderId="0" xfId="0" applyFont="1" applyFill="1" applyBorder="1" applyAlignment="1">
      <alignment horizontal="right" vertical="top" wrapText="1"/>
    </xf>
    <xf numFmtId="0" fontId="0" fillId="0" borderId="0" xfId="0" applyFont="1" applyFill="1"/>
    <xf numFmtId="0" fontId="37" fillId="0" borderId="1" xfId="0" quotePrefix="1" applyFont="1" applyFill="1" applyBorder="1" applyAlignment="1">
      <alignment horizontal="right" vertical="top" wrapText="1"/>
    </xf>
    <xf numFmtId="44" fontId="0" fillId="0" borderId="0" xfId="0" applyNumberFormat="1" applyFont="1" applyAlignment="1">
      <alignment vertical="top"/>
    </xf>
    <xf numFmtId="0" fontId="46" fillId="17" borderId="53" xfId="6" applyFont="1" applyAlignment="1">
      <alignment horizontal="center" vertical="center"/>
    </xf>
    <xf numFmtId="167" fontId="0" fillId="17" borderId="53" xfId="6" applyNumberFormat="1" applyFont="1" applyAlignment="1">
      <alignment horizontal="center" vertical="top"/>
    </xf>
    <xf numFmtId="44" fontId="0" fillId="17" borderId="53" xfId="6" applyNumberFormat="1" applyFont="1" applyAlignment="1">
      <alignment vertical="center"/>
    </xf>
    <xf numFmtId="167" fontId="45" fillId="0" borderId="0" xfId="3" applyNumberFormat="1" applyFont="1" applyAlignment="1">
      <alignment vertical="top"/>
    </xf>
    <xf numFmtId="44" fontId="45" fillId="0" borderId="0" xfId="0" applyNumberFormat="1" applyFont="1" applyAlignment="1">
      <alignment vertical="top"/>
    </xf>
    <xf numFmtId="0" fontId="45" fillId="0" borderId="0" xfId="0" applyFont="1" applyAlignment="1">
      <alignment horizontal="right"/>
    </xf>
    <xf numFmtId="43" fontId="15" fillId="0" borderId="0" xfId="1" applyFont="1" applyBorder="1" applyAlignment="1" applyProtection="1">
      <alignment horizontal="center" vertical="center"/>
    </xf>
    <xf numFmtId="43" fontId="0" fillId="0" borderId="0" xfId="0" applyNumberFormat="1" applyFont="1"/>
    <xf numFmtId="0" fontId="30" fillId="0" borderId="0" xfId="0" applyFont="1" applyAlignment="1">
      <alignment horizontal="center"/>
    </xf>
    <xf numFmtId="0" fontId="17" fillId="13" borderId="15" xfId="0" applyFont="1" applyFill="1" applyBorder="1" applyAlignment="1">
      <alignment horizontal="center" vertical="center"/>
    </xf>
    <xf numFmtId="44" fontId="18" fillId="13" borderId="15" xfId="2" applyFont="1" applyFill="1" applyBorder="1" applyAlignment="1" applyProtection="1">
      <alignment horizontal="center" vertical="center"/>
    </xf>
    <xf numFmtId="10" fontId="17" fillId="13" borderId="15" xfId="3" applyNumberFormat="1" applyFont="1" applyFill="1" applyBorder="1" applyAlignment="1">
      <alignment horizontal="center" vertical="center"/>
    </xf>
    <xf numFmtId="0" fontId="46" fillId="0" borderId="0" xfId="6" applyFont="1" applyFill="1" applyBorder="1" applyAlignment="1">
      <alignment horizontal="center" vertical="center"/>
    </xf>
    <xf numFmtId="44" fontId="0" fillId="0" borderId="0" xfId="6" applyNumberFormat="1" applyFont="1" applyFill="1" applyBorder="1" applyAlignment="1">
      <alignment vertical="center"/>
    </xf>
    <xf numFmtId="167" fontId="0" fillId="0" borderId="0" xfId="6" applyNumberFormat="1" applyFont="1" applyFill="1" applyBorder="1" applyAlignment="1">
      <alignment horizontal="center" vertical="top"/>
    </xf>
    <xf numFmtId="9" fontId="0" fillId="0" borderId="0" xfId="6" applyNumberFormat="1" applyFont="1" applyFill="1" applyBorder="1" applyAlignment="1">
      <alignment horizontal="center" vertical="top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right" vertical="top" wrapText="1"/>
    </xf>
    <xf numFmtId="0" fontId="35" fillId="0" borderId="0" xfId="0" applyFont="1" applyFill="1" applyBorder="1" applyAlignment="1">
      <alignment horizontal="right" vertical="top" wrapText="1"/>
    </xf>
    <xf numFmtId="43" fontId="37" fillId="0" borderId="0" xfId="1" applyFont="1" applyFill="1" applyBorder="1" applyAlignment="1">
      <alignment horizontal="right" vertical="top" wrapText="1"/>
    </xf>
    <xf numFmtId="43" fontId="35" fillId="0" borderId="0" xfId="1" applyFont="1" applyFill="1" applyBorder="1" applyAlignment="1">
      <alignment horizontal="right" vertical="top" wrapText="1"/>
    </xf>
    <xf numFmtId="43" fontId="37" fillId="0" borderId="0" xfId="1" applyNumberFormat="1" applyFont="1" applyFill="1" applyBorder="1" applyAlignment="1">
      <alignment horizontal="right" vertical="top" wrapText="1"/>
    </xf>
    <xf numFmtId="0" fontId="29" fillId="0" borderId="0" xfId="0" applyFont="1" applyFill="1" applyBorder="1"/>
    <xf numFmtId="0" fontId="0" fillId="0" borderId="0" xfId="0" applyFont="1" applyFill="1" applyBorder="1" applyAlignment="1">
      <alignment vertical="top"/>
    </xf>
    <xf numFmtId="0" fontId="47" fillId="10" borderId="6" xfId="0" applyFont="1" applyFill="1" applyBorder="1" applyAlignment="1">
      <alignment horizontal="center" vertical="center" wrapText="1"/>
    </xf>
    <xf numFmtId="43" fontId="0" fillId="0" borderId="0" xfId="0" applyNumberFormat="1" applyFont="1" applyAlignment="1">
      <alignment vertical="top"/>
    </xf>
    <xf numFmtId="0" fontId="6" fillId="0" borderId="17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44" fontId="6" fillId="0" borderId="17" xfId="2" applyFont="1" applyFill="1" applyBorder="1" applyAlignment="1" applyProtection="1">
      <alignment horizontal="center" vertical="top"/>
    </xf>
    <xf numFmtId="44" fontId="6" fillId="0" borderId="19" xfId="2" applyFont="1" applyFill="1" applyBorder="1" applyAlignment="1" applyProtection="1">
      <alignment horizontal="center" vertical="top"/>
    </xf>
    <xf numFmtId="10" fontId="6" fillId="0" borderId="17" xfId="3" applyNumberFormat="1" applyFont="1" applyFill="1" applyBorder="1" applyAlignment="1" applyProtection="1">
      <alignment horizontal="center" vertical="top"/>
    </xf>
    <xf numFmtId="10" fontId="6" fillId="0" borderId="19" xfId="3" applyNumberFormat="1" applyFont="1" applyFill="1" applyBorder="1" applyAlignment="1" applyProtection="1">
      <alignment horizontal="center" vertical="top"/>
    </xf>
    <xf numFmtId="0" fontId="30" fillId="0" borderId="0" xfId="0" applyFont="1" applyAlignment="1">
      <alignment horizontal="center"/>
    </xf>
    <xf numFmtId="43" fontId="15" fillId="0" borderId="0" xfId="1" applyFont="1" applyBorder="1" applyAlignment="1" applyProtection="1">
      <alignment horizontal="center" vertical="center"/>
    </xf>
    <xf numFmtId="43" fontId="15" fillId="0" borderId="0" xfId="1" applyFont="1" applyBorder="1" applyAlignment="1" applyProtection="1">
      <alignment horizontal="right" vertical="center"/>
    </xf>
    <xf numFmtId="0" fontId="17" fillId="13" borderId="17" xfId="0" applyFont="1" applyFill="1" applyBorder="1" applyAlignment="1">
      <alignment horizontal="center" vertical="center"/>
    </xf>
    <xf numFmtId="0" fontId="17" fillId="13" borderId="19" xfId="0" applyFont="1" applyFill="1" applyBorder="1" applyAlignment="1">
      <alignment horizontal="center" vertical="center"/>
    </xf>
    <xf numFmtId="44" fontId="18" fillId="13" borderId="17" xfId="2" applyFont="1" applyFill="1" applyBorder="1" applyAlignment="1" applyProtection="1">
      <alignment horizontal="center" vertical="center"/>
    </xf>
    <xf numFmtId="44" fontId="18" fillId="13" borderId="19" xfId="2" applyFont="1" applyFill="1" applyBorder="1" applyAlignment="1" applyProtection="1">
      <alignment horizontal="center" vertical="center"/>
    </xf>
    <xf numFmtId="10" fontId="17" fillId="13" borderId="17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44" fontId="6" fillId="0" borderId="20" xfId="2" applyFont="1" applyFill="1" applyBorder="1" applyAlignment="1" applyProtection="1">
      <alignment horizontal="center" vertical="center"/>
    </xf>
    <xf numFmtId="44" fontId="6" fillId="0" borderId="19" xfId="2" applyFont="1" applyFill="1" applyBorder="1" applyAlignment="1" applyProtection="1">
      <alignment horizontal="center" vertical="center"/>
    </xf>
    <xf numFmtId="0" fontId="32" fillId="0" borderId="0" xfId="0" applyFont="1" applyBorder="1" applyAlignment="1">
      <alignment horizontal="center"/>
    </xf>
    <xf numFmtId="2" fontId="30" fillId="0" borderId="0" xfId="0" applyNumberFormat="1" applyFont="1" applyBorder="1" applyAlignment="1">
      <alignment horizontal="center"/>
    </xf>
    <xf numFmtId="0" fontId="7" fillId="0" borderId="13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4" fillId="0" borderId="17" xfId="1" applyNumberFormat="1" applyFont="1" applyFill="1" applyBorder="1" applyAlignment="1" applyProtection="1">
      <alignment horizontal="center" vertical="center" wrapText="1"/>
    </xf>
    <xf numFmtId="4" fontId="14" fillId="0" borderId="18" xfId="1" applyNumberFormat="1" applyFont="1" applyFill="1" applyBorder="1" applyAlignment="1" applyProtection="1">
      <alignment horizontal="center" vertical="center" wrapText="1"/>
    </xf>
    <xf numFmtId="0" fontId="23" fillId="0" borderId="0" xfId="4" applyFont="1"/>
    <xf numFmtId="0" fontId="22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23" fillId="0" borderId="24" xfId="4" applyFont="1" applyBorder="1"/>
    <xf numFmtId="0" fontId="24" fillId="0" borderId="0" xfId="4" applyFont="1" applyAlignment="1">
      <alignment vertical="center"/>
    </xf>
    <xf numFmtId="0" fontId="24" fillId="0" borderId="13" xfId="4" applyFont="1" applyBorder="1" applyAlignment="1">
      <alignment vertical="center"/>
    </xf>
    <xf numFmtId="0" fontId="23" fillId="0" borderId="29" xfId="4" applyFont="1" applyBorder="1"/>
    <xf numFmtId="0" fontId="20" fillId="0" borderId="21" xfId="4" applyFont="1" applyBorder="1" applyAlignment="1">
      <alignment horizontal="center" vertical="center" wrapText="1"/>
    </xf>
    <xf numFmtId="0" fontId="20" fillId="0" borderId="22" xfId="4" applyFont="1" applyBorder="1" applyAlignment="1">
      <alignment horizontal="center" vertical="center"/>
    </xf>
    <xf numFmtId="0" fontId="20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horizontal="center" vertical="center"/>
    </xf>
    <xf numFmtId="0" fontId="20" fillId="0" borderId="0" xfId="4" applyFont="1" applyBorder="1" applyAlignment="1">
      <alignment horizontal="center" vertical="center"/>
    </xf>
    <xf numFmtId="0" fontId="20" fillId="0" borderId="25" xfId="4" applyFont="1" applyBorder="1" applyAlignment="1">
      <alignment horizontal="center" vertical="center"/>
    </xf>
    <xf numFmtId="0" fontId="20" fillId="0" borderId="26" xfId="4" applyFont="1" applyBorder="1" applyAlignment="1">
      <alignment horizontal="center" vertical="center"/>
    </xf>
    <xf numFmtId="0" fontId="20" fillId="0" borderId="13" xfId="4" applyFont="1" applyBorder="1" applyAlignment="1">
      <alignment horizontal="center" vertical="center"/>
    </xf>
    <xf numFmtId="0" fontId="20" fillId="0" borderId="27" xfId="4" applyFont="1" applyBorder="1" applyAlignment="1">
      <alignment horizontal="center" vertical="center"/>
    </xf>
    <xf numFmtId="0" fontId="21" fillId="0" borderId="28" xfId="4" applyFont="1" applyBorder="1" applyAlignment="1">
      <alignment horizontal="center" vertical="center"/>
    </xf>
    <xf numFmtId="0" fontId="21" fillId="0" borderId="29" xfId="4" applyFont="1" applyBorder="1" applyAlignment="1">
      <alignment horizontal="center" vertical="center"/>
    </xf>
    <xf numFmtId="0" fontId="21" fillId="0" borderId="30" xfId="4" applyFont="1" applyBorder="1" applyAlignment="1">
      <alignment horizontal="center" vertical="center"/>
    </xf>
    <xf numFmtId="0" fontId="22" fillId="0" borderId="22" xfId="4" applyFont="1" applyBorder="1" applyAlignment="1">
      <alignment horizontal="left" vertical="top" wrapText="1"/>
    </xf>
    <xf numFmtId="0" fontId="22" fillId="0" borderId="0" xfId="4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3" fillId="10" borderId="0" xfId="0" applyFont="1" applyFill="1" applyBorder="1" applyAlignment="1">
      <alignment horizontal="left" vertical="top" wrapText="1"/>
    </xf>
    <xf numFmtId="0" fontId="43" fillId="10" borderId="7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44" fillId="0" borderId="0" xfId="5" applyFill="1" applyBorder="1" applyAlignment="1">
      <alignment horizontal="center" vertical="center"/>
    </xf>
    <xf numFmtId="0" fontId="44" fillId="16" borderId="54" xfId="5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2" fillId="0" borderId="51" xfId="0" applyFont="1" applyBorder="1" applyAlignment="1">
      <alignment horizontal="center"/>
    </xf>
    <xf numFmtId="0" fontId="37" fillId="12" borderId="3" xfId="0" applyFont="1" applyFill="1" applyBorder="1" applyAlignment="1">
      <alignment horizontal="left" vertical="top" wrapText="1"/>
    </xf>
    <xf numFmtId="0" fontId="37" fillId="12" borderId="4" xfId="0" applyFont="1" applyFill="1" applyBorder="1" applyAlignment="1">
      <alignment horizontal="left" vertical="top" wrapText="1"/>
    </xf>
    <xf numFmtId="0" fontId="37" fillId="12" borderId="44" xfId="0" applyFont="1" applyFill="1" applyBorder="1" applyAlignment="1">
      <alignment horizontal="left" vertical="top" wrapText="1"/>
    </xf>
    <xf numFmtId="0" fontId="37" fillId="12" borderId="6" xfId="0" applyFont="1" applyFill="1" applyBorder="1" applyAlignment="1">
      <alignment horizontal="left" vertical="top" wrapText="1"/>
    </xf>
    <xf numFmtId="0" fontId="37" fillId="12" borderId="0" xfId="0" applyFont="1" applyFill="1" applyBorder="1" applyAlignment="1">
      <alignment horizontal="left" vertical="top" wrapText="1"/>
    </xf>
    <xf numFmtId="0" fontId="37" fillId="12" borderId="45" xfId="0" applyFont="1" applyFill="1" applyBorder="1" applyAlignment="1">
      <alignment horizontal="left" vertical="top" wrapText="1"/>
    </xf>
    <xf numFmtId="0" fontId="37" fillId="12" borderId="10" xfId="0" applyFont="1" applyFill="1" applyBorder="1" applyAlignment="1">
      <alignment horizontal="left" vertical="top" wrapText="1"/>
    </xf>
    <xf numFmtId="0" fontId="37" fillId="12" borderId="11" xfId="0" applyFont="1" applyFill="1" applyBorder="1" applyAlignment="1">
      <alignment horizontal="left" vertical="top" wrapText="1"/>
    </xf>
    <xf numFmtId="0" fontId="37" fillId="12" borderId="46" xfId="0" applyFont="1" applyFill="1" applyBorder="1" applyAlignment="1">
      <alignment horizontal="left" vertical="top" wrapText="1"/>
    </xf>
    <xf numFmtId="44" fontId="38" fillId="0" borderId="35" xfId="2" applyFont="1" applyFill="1" applyBorder="1" applyAlignment="1">
      <alignment horizontal="center" vertical="top" wrapText="1"/>
    </xf>
    <xf numFmtId="44" fontId="38" fillId="0" borderId="40" xfId="2" applyFont="1" applyFill="1" applyBorder="1" applyAlignment="1">
      <alignment horizontal="center" vertical="top" wrapText="1"/>
    </xf>
    <xf numFmtId="44" fontId="38" fillId="0" borderId="41" xfId="2" applyFont="1" applyFill="1" applyBorder="1" applyAlignment="1">
      <alignment horizontal="center" vertical="top" wrapText="1"/>
    </xf>
    <xf numFmtId="44" fontId="40" fillId="0" borderId="36" xfId="2" applyFont="1" applyFill="1" applyBorder="1" applyAlignment="1">
      <alignment horizontal="center" vertical="top" wrapText="1"/>
    </xf>
    <xf numFmtId="44" fontId="40" fillId="0" borderId="42" xfId="2" applyFont="1" applyFill="1" applyBorder="1" applyAlignment="1">
      <alignment horizontal="center" vertical="top" wrapText="1"/>
    </xf>
    <xf numFmtId="10" fontId="38" fillId="0" borderId="38" xfId="3" applyNumberFormat="1" applyFont="1" applyFill="1" applyBorder="1" applyAlignment="1">
      <alignment horizontal="right" vertical="top" wrapText="1"/>
    </xf>
    <xf numFmtId="10" fontId="38" fillId="0" borderId="43" xfId="3" applyNumberFormat="1" applyFont="1" applyFill="1" applyBorder="1" applyAlignment="1">
      <alignment horizontal="right" vertical="top" wrapText="1"/>
    </xf>
    <xf numFmtId="43" fontId="0" fillId="0" borderId="0" xfId="1" applyFont="1" applyAlignment="1">
      <alignment wrapText="1"/>
    </xf>
    <xf numFmtId="43" fontId="4" fillId="0" borderId="0" xfId="1" applyFont="1" applyAlignment="1">
      <alignment wrapText="1"/>
    </xf>
    <xf numFmtId="43" fontId="48" fillId="0" borderId="0" xfId="1" applyFont="1" applyAlignment="1">
      <alignment vertical="center"/>
    </xf>
    <xf numFmtId="43" fontId="49" fillId="0" borderId="0" xfId="1" applyFont="1"/>
    <xf numFmtId="43" fontId="48" fillId="0" borderId="0" xfId="1" applyFont="1" applyAlignment="1">
      <alignment horizontal="left" vertical="center" wrapText="1"/>
    </xf>
    <xf numFmtId="0" fontId="24" fillId="18" borderId="29" xfId="4" applyFont="1" applyFill="1" applyBorder="1" applyAlignment="1">
      <alignment horizontal="right" vertical="center"/>
    </xf>
    <xf numFmtId="0" fontId="0" fillId="18" borderId="0" xfId="0" applyFill="1"/>
  </cellXfs>
  <cellStyles count="7">
    <cellStyle name="Incorreto" xfId="5" builtinId="27"/>
    <cellStyle name="Moeda" xfId="2" builtinId="4"/>
    <cellStyle name="Normal" xfId="0" builtinId="0"/>
    <cellStyle name="Normal 2" xfId="4"/>
    <cellStyle name="Nota" xfId="6" builtinId="10"/>
    <cellStyle name="Porcentagem" xfId="3" builtinId="5"/>
    <cellStyle name="Vírgula" xfId="1" builtinId="3"/>
  </cellStyles>
  <dxfs count="15"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  <dxf>
      <font>
        <b val="0"/>
        <i/>
        <color auto="1"/>
      </font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22</xdr:row>
      <xdr:rowOff>47625</xdr:rowOff>
    </xdr:from>
    <xdr:to>
      <xdr:col>2</xdr:col>
      <xdr:colOff>200025</xdr:colOff>
      <xdr:row>24</xdr:row>
      <xdr:rowOff>123825</xdr:rowOff>
    </xdr:to>
    <xdr:sp macro="" textlink="">
      <xdr:nvSpPr>
        <xdr:cNvPr id="2" name="Chave esquerda 1"/>
        <xdr:cNvSpPr>
          <a:spLocks/>
        </xdr:cNvSpPr>
      </xdr:nvSpPr>
      <xdr:spPr bwMode="auto">
        <a:xfrm>
          <a:off x="1895475" y="4419600"/>
          <a:ext cx="104775" cy="438150"/>
        </a:xfrm>
        <a:prstGeom prst="leftBrace">
          <a:avLst>
            <a:gd name="adj1" fmla="val 8432"/>
            <a:gd name="adj2" fmla="val 50852"/>
          </a:avLst>
        </a:prstGeom>
        <a:noFill/>
        <a:ln w="6350" cap="rnd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390525</xdr:colOff>
      <xdr:row>32</xdr:row>
      <xdr:rowOff>142875</xdr:rowOff>
    </xdr:from>
    <xdr:to>
      <xdr:col>1</xdr:col>
      <xdr:colOff>438150</xdr:colOff>
      <xdr:row>35</xdr:row>
      <xdr:rowOff>28575</xdr:rowOff>
    </xdr:to>
    <xdr:sp macro="" textlink="">
      <xdr:nvSpPr>
        <xdr:cNvPr id="3" name="Colchete esquerdo 2"/>
        <xdr:cNvSpPr>
          <a:spLocks/>
        </xdr:cNvSpPr>
      </xdr:nvSpPr>
      <xdr:spPr bwMode="auto">
        <a:xfrm>
          <a:off x="1143000" y="6372225"/>
          <a:ext cx="47625" cy="485775"/>
        </a:xfrm>
        <a:prstGeom prst="leftBracket">
          <a:avLst>
            <a:gd name="adj" fmla="val 805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5</xdr:col>
      <xdr:colOff>38100</xdr:colOff>
      <xdr:row>32</xdr:row>
      <xdr:rowOff>104775</xdr:rowOff>
    </xdr:from>
    <xdr:to>
      <xdr:col>5</xdr:col>
      <xdr:colOff>95250</xdr:colOff>
      <xdr:row>35</xdr:row>
      <xdr:rowOff>0</xdr:rowOff>
    </xdr:to>
    <xdr:sp macro="" textlink="">
      <xdr:nvSpPr>
        <xdr:cNvPr id="4" name="Colchete direito 4"/>
        <xdr:cNvSpPr>
          <a:spLocks/>
        </xdr:cNvSpPr>
      </xdr:nvSpPr>
      <xdr:spPr bwMode="auto">
        <a:xfrm>
          <a:off x="5715000" y="6334125"/>
          <a:ext cx="57150" cy="495300"/>
        </a:xfrm>
        <a:prstGeom prst="rightBracket">
          <a:avLst>
            <a:gd name="adj" fmla="val 79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5</xdr:col>
      <xdr:colOff>38100</xdr:colOff>
      <xdr:row>38</xdr:row>
      <xdr:rowOff>104775</xdr:rowOff>
    </xdr:from>
    <xdr:to>
      <xdr:col>5</xdr:col>
      <xdr:colOff>95250</xdr:colOff>
      <xdr:row>40</xdr:row>
      <xdr:rowOff>152400</xdr:rowOff>
    </xdr:to>
    <xdr:sp macro="" textlink="">
      <xdr:nvSpPr>
        <xdr:cNvPr id="5" name="Colchete direito 5"/>
        <xdr:cNvSpPr>
          <a:spLocks/>
        </xdr:cNvSpPr>
      </xdr:nvSpPr>
      <xdr:spPr bwMode="auto">
        <a:xfrm>
          <a:off x="5715000" y="7486650"/>
          <a:ext cx="57150" cy="466725"/>
        </a:xfrm>
        <a:prstGeom prst="rightBracket">
          <a:avLst>
            <a:gd name="adj" fmla="val 792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371475</xdr:colOff>
      <xdr:row>38</xdr:row>
      <xdr:rowOff>133350</xdr:rowOff>
    </xdr:from>
    <xdr:to>
      <xdr:col>1</xdr:col>
      <xdr:colOff>419100</xdr:colOff>
      <xdr:row>41</xdr:row>
      <xdr:rowOff>9525</xdr:rowOff>
    </xdr:to>
    <xdr:sp macro="" textlink="">
      <xdr:nvSpPr>
        <xdr:cNvPr id="6" name="Colchete esquerdo 6"/>
        <xdr:cNvSpPr>
          <a:spLocks/>
        </xdr:cNvSpPr>
      </xdr:nvSpPr>
      <xdr:spPr bwMode="auto">
        <a:xfrm>
          <a:off x="1123950" y="7515225"/>
          <a:ext cx="47625" cy="476250"/>
        </a:xfrm>
        <a:prstGeom prst="leftBracket">
          <a:avLst>
            <a:gd name="adj" fmla="val 809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view="pageBreakPreview" zoomScale="110" zoomScaleNormal="120" zoomScaleSheetLayoutView="110" workbookViewId="0">
      <selection activeCell="E10" sqref="E10"/>
    </sheetView>
  </sheetViews>
  <sheetFormatPr defaultRowHeight="14.25" x14ac:dyDescent="0.2"/>
  <cols>
    <col min="1" max="1" width="8" customWidth="1"/>
    <col min="2" max="2" width="46.75" customWidth="1"/>
    <col min="3" max="3" width="15.125" customWidth="1"/>
    <col min="4" max="4" width="16.25" customWidth="1"/>
    <col min="5" max="7" width="17.75" customWidth="1"/>
    <col min="8" max="8" width="17.375" customWidth="1"/>
    <col min="9" max="9" width="10.875" customWidth="1"/>
    <col min="10" max="10" width="2.875" customWidth="1"/>
  </cols>
  <sheetData>
    <row r="1" spans="1:11" ht="93" customHeight="1" thickBot="1" x14ac:dyDescent="0.25">
      <c r="A1" s="175" t="s">
        <v>254</v>
      </c>
      <c r="B1" s="199" t="s">
        <v>134</v>
      </c>
      <c r="C1" s="200"/>
      <c r="D1" s="200"/>
      <c r="E1" s="200"/>
      <c r="F1" s="200"/>
      <c r="G1" s="200"/>
      <c r="H1" s="200"/>
      <c r="I1" s="200"/>
    </row>
    <row r="2" spans="1:11" ht="21.75" customHeight="1" x14ac:dyDescent="0.2">
      <c r="A2" s="201"/>
      <c r="B2" s="201"/>
      <c r="C2" s="201"/>
      <c r="D2" s="201"/>
      <c r="E2" s="201"/>
      <c r="F2" s="201"/>
      <c r="G2" s="201"/>
      <c r="H2" s="201"/>
      <c r="I2" s="201"/>
    </row>
    <row r="3" spans="1:11" x14ac:dyDescent="0.2">
      <c r="A3" s="202" t="str">
        <f>ORÇAMENTO_R03!D2</f>
        <v>RECONSTRUÇÃO DE TRAVESSIA AÉREA DE UM TRECHO DO COLETOR DE ESGOTO DA SERRINHA - TRECHO DA AVENIDA INTEGRAÇÃO ATÉ O COLETOR DE ESGOTO NA MARGEM ESQUERDA DO CÓRREGO DA ÁGUA QUENTE, BAIRRO CIDADE ARACY</v>
      </c>
      <c r="B3" s="202"/>
      <c r="C3" s="202"/>
      <c r="D3" s="202"/>
      <c r="E3" s="202"/>
      <c r="F3" s="202"/>
      <c r="G3" s="202"/>
      <c r="H3" s="203" t="s">
        <v>55</v>
      </c>
      <c r="I3" s="203" t="s">
        <v>56</v>
      </c>
    </row>
    <row r="4" spans="1:11" x14ac:dyDescent="0.2">
      <c r="A4" s="202"/>
      <c r="B4" s="202"/>
      <c r="C4" s="202"/>
      <c r="D4" s="202"/>
      <c r="E4" s="202"/>
      <c r="F4" s="202"/>
      <c r="G4" s="202"/>
      <c r="H4" s="204"/>
      <c r="I4" s="204"/>
    </row>
    <row r="5" spans="1:11" x14ac:dyDescent="0.2">
      <c r="A5" s="202"/>
      <c r="B5" s="202"/>
      <c r="C5" s="202"/>
      <c r="D5" s="202"/>
      <c r="E5" s="202"/>
      <c r="F5" s="202"/>
      <c r="G5" s="202"/>
      <c r="H5" s="2">
        <v>46112</v>
      </c>
      <c r="I5" s="3">
        <v>3</v>
      </c>
    </row>
    <row r="6" spans="1:11" x14ac:dyDescent="0.2">
      <c r="A6" s="4"/>
      <c r="B6" s="5"/>
      <c r="C6" s="5"/>
      <c r="D6" s="5"/>
      <c r="E6" s="5"/>
      <c r="F6" s="5"/>
      <c r="G6" s="5"/>
      <c r="H6" s="5"/>
      <c r="I6" s="5"/>
    </row>
    <row r="7" spans="1:11" x14ac:dyDescent="0.2">
      <c r="A7" s="205" t="s">
        <v>5</v>
      </c>
      <c r="B7" s="205" t="s">
        <v>8</v>
      </c>
      <c r="C7" s="207" t="s">
        <v>57</v>
      </c>
      <c r="D7" s="207"/>
      <c r="E7" s="207"/>
      <c r="F7" s="207"/>
      <c r="G7" s="207"/>
      <c r="H7" s="205" t="s">
        <v>58</v>
      </c>
      <c r="I7" s="208" t="s">
        <v>59</v>
      </c>
    </row>
    <row r="8" spans="1:11" x14ac:dyDescent="0.2">
      <c r="A8" s="206"/>
      <c r="B8" s="206"/>
      <c r="C8" s="6" t="s">
        <v>60</v>
      </c>
      <c r="D8" s="6" t="s">
        <v>61</v>
      </c>
      <c r="E8" s="6" t="s">
        <v>62</v>
      </c>
      <c r="F8" s="6" t="s">
        <v>99</v>
      </c>
      <c r="G8" s="6" t="s">
        <v>100</v>
      </c>
      <c r="H8" s="206"/>
      <c r="I8" s="209"/>
    </row>
    <row r="9" spans="1:11" x14ac:dyDescent="0.2">
      <c r="A9" s="177">
        <v>1</v>
      </c>
      <c r="B9" s="179" t="str">
        <f>VLOOKUP(A9,ORÇAMENTO_R03!A5:L77,4,1)</f>
        <v>SERVIÇOS PRELIMINARES</v>
      </c>
      <c r="C9" s="7" t="e">
        <f>IF(C10="","",C10*$H$9)</f>
        <v>#DIV/0!</v>
      </c>
      <c r="D9" s="7" t="e">
        <f>IF(D10="","",D10*$H$9)</f>
        <v>#DIV/0!</v>
      </c>
      <c r="E9" s="7" t="e">
        <f>IF(E10="","",E10*$H$9)</f>
        <v>#DIV/0!</v>
      </c>
      <c r="F9" s="7" t="e">
        <f>IF(F10="","",F10*$H$9)</f>
        <v>#DIV/0!</v>
      </c>
      <c r="G9" s="7" t="e">
        <f>IF(G10="","",G10*$H$9)</f>
        <v>#DIV/0!</v>
      </c>
      <c r="H9" s="181">
        <f>VLOOKUP(A9,ORÇAMENTO_R03!A5:L77,11,1)</f>
        <v>0</v>
      </c>
      <c r="I9" s="183" t="e">
        <f>H9/$H$36</f>
        <v>#DIV/0!</v>
      </c>
      <c r="K9" s="8"/>
    </row>
    <row r="10" spans="1:11" x14ac:dyDescent="0.2">
      <c r="A10" s="178"/>
      <c r="B10" s="180"/>
      <c r="C10" s="9" t="e">
        <f>(ORÇAMENTO_R03!K5-4*ORÇAMENTO_R03!H6)/ORÇAMENTO_R03!K5</f>
        <v>#DIV/0!</v>
      </c>
      <c r="D10" s="9" t="e">
        <f>ORÇAMENTO_R03!H6/ORÇAMENTO_R03!K5</f>
        <v>#DIV/0!</v>
      </c>
      <c r="E10" s="9" t="e">
        <f>ORÇAMENTO_R03!H6/ORÇAMENTO_R03!K5</f>
        <v>#DIV/0!</v>
      </c>
      <c r="F10" s="9" t="e">
        <f>ORÇAMENTO_R03!H6/ORÇAMENTO_R03!K5</f>
        <v>#DIV/0!</v>
      </c>
      <c r="G10" s="9" t="e">
        <f>ORÇAMENTO_R03!H6/ORÇAMENTO_R03!K5</f>
        <v>#DIV/0!</v>
      </c>
      <c r="H10" s="182"/>
      <c r="I10" s="184"/>
      <c r="K10" s="8" t="e">
        <f>IF(SUM(B10:G10)=100%,"Ok","Revisar percentuais")</f>
        <v>#DIV/0!</v>
      </c>
    </row>
    <row r="11" spans="1:11" x14ac:dyDescent="0.2">
      <c r="A11" s="177">
        <v>2</v>
      </c>
      <c r="B11" s="179" t="str">
        <f>VLOOKUP(A11,ORÇAMENTO_R03!A7:L79,4,1)</f>
        <v>SERVIÇOS TÉCNICOS</v>
      </c>
      <c r="C11" s="7">
        <f>IF(C12="","",C12*$H11)</f>
        <v>0</v>
      </c>
      <c r="D11" s="7">
        <f>IF(D12="","",D12*$H11)</f>
        <v>0</v>
      </c>
      <c r="E11" s="7">
        <f>IF(E12="","",E12*$H11)</f>
        <v>0</v>
      </c>
      <c r="F11" s="7">
        <f>IF(F12="","",F12*$H11)</f>
        <v>0</v>
      </c>
      <c r="G11" s="7">
        <f>IF(G12="","",G12*$H11)</f>
        <v>0</v>
      </c>
      <c r="H11" s="181">
        <f>VLOOKUP(A11,ORÇAMENTO_R03!A7:L79,11,1)</f>
        <v>0</v>
      </c>
      <c r="I11" s="183" t="e">
        <f>H11/$H$36</f>
        <v>#DIV/0!</v>
      </c>
      <c r="K11" s="8"/>
    </row>
    <row r="12" spans="1:11" x14ac:dyDescent="0.2">
      <c r="A12" s="178"/>
      <c r="B12" s="180"/>
      <c r="C12" s="9">
        <v>0.4</v>
      </c>
      <c r="D12" s="9">
        <v>0.15</v>
      </c>
      <c r="E12" s="9">
        <v>0.15</v>
      </c>
      <c r="F12" s="9">
        <v>0.15</v>
      </c>
      <c r="G12" s="9">
        <v>0.15</v>
      </c>
      <c r="H12" s="182"/>
      <c r="I12" s="184"/>
      <c r="K12" s="8" t="str">
        <f>IF(SUM(B12:G12)=100%,"Ok","Revisar percentuais")</f>
        <v>Ok</v>
      </c>
    </row>
    <row r="13" spans="1:11" ht="14.25" customHeight="1" x14ac:dyDescent="0.2">
      <c r="A13" s="177">
        <v>3</v>
      </c>
      <c r="B13" s="179" t="str">
        <f>VLOOKUP(A13,ORÇAMENTO_R03!A9:L81,4,1)</f>
        <v>SEGURANÇA PATRIMONIAL</v>
      </c>
      <c r="C13" s="7">
        <f>IF(C14="","",C14*$H13)</f>
        <v>0</v>
      </c>
      <c r="D13" s="7">
        <f>IF(D14="","",D14*$H13)</f>
        <v>0</v>
      </c>
      <c r="E13" s="7">
        <f>IF(E14="","",E14*$H13)</f>
        <v>0</v>
      </c>
      <c r="F13" s="7">
        <f>IF(F14="","",F14*$H13)</f>
        <v>0</v>
      </c>
      <c r="G13" s="7">
        <f>IF(G14="","",G14*$H13)</f>
        <v>0</v>
      </c>
      <c r="H13" s="181">
        <f>VLOOKUP(A13,ORÇAMENTO_R03!A9:L81,11,1)</f>
        <v>0</v>
      </c>
      <c r="I13" s="183" t="e">
        <f>H13/$H$36</f>
        <v>#DIV/0!</v>
      </c>
      <c r="K13" s="8"/>
    </row>
    <row r="14" spans="1:11" x14ac:dyDescent="0.2">
      <c r="A14" s="178"/>
      <c r="B14" s="180"/>
      <c r="C14" s="9">
        <v>0.1</v>
      </c>
      <c r="D14" s="9">
        <v>0.2</v>
      </c>
      <c r="E14" s="9">
        <v>0.2</v>
      </c>
      <c r="F14" s="9">
        <v>0.2</v>
      </c>
      <c r="G14" s="9">
        <v>0.3</v>
      </c>
      <c r="H14" s="182"/>
      <c r="I14" s="184"/>
      <c r="K14" s="8" t="str">
        <f>IF(SUM(B14:G14)=100%,"Ok","Revisar percentuais")</f>
        <v>Ok</v>
      </c>
    </row>
    <row r="15" spans="1:11" x14ac:dyDescent="0.2">
      <c r="A15" s="177">
        <v>4</v>
      </c>
      <c r="B15" s="179" t="str">
        <f>VLOOKUP(A15,ORÇAMENTO_R03!A11:L83,4,1)</f>
        <v>MURO DE GABIÃO</v>
      </c>
      <c r="C15" s="7" t="str">
        <f>IF(C16="","",C16*$H15)</f>
        <v/>
      </c>
      <c r="D15" s="7">
        <f>IF(D16="","",D16*$H15)</f>
        <v>0</v>
      </c>
      <c r="E15" s="7">
        <f>IF(E16="","",E16*$H15)</f>
        <v>0</v>
      </c>
      <c r="F15" s="7">
        <f>IF(F16="","",F16*$H15)</f>
        <v>0</v>
      </c>
      <c r="G15" s="7" t="str">
        <f>IF(G16="","",G16*$H15)</f>
        <v/>
      </c>
      <c r="H15" s="181">
        <f>VLOOKUP(A15,ORÇAMENTO_R03!A11:L83,11,1)</f>
        <v>0</v>
      </c>
      <c r="I15" s="183" t="e">
        <f>H15/$H$36</f>
        <v>#DIV/0!</v>
      </c>
      <c r="K15" s="8"/>
    </row>
    <row r="16" spans="1:11" x14ac:dyDescent="0.2">
      <c r="A16" s="178"/>
      <c r="B16" s="180"/>
      <c r="C16" s="9"/>
      <c r="D16" s="9">
        <v>0.4</v>
      </c>
      <c r="E16" s="9">
        <v>0.5</v>
      </c>
      <c r="F16" s="9">
        <v>0.1</v>
      </c>
      <c r="G16" s="9"/>
      <c r="H16" s="182"/>
      <c r="I16" s="184"/>
      <c r="K16" s="8" t="str">
        <f>IF(SUM(B16:G16)=100%,"Ok","Revisar percentuais")</f>
        <v>Ok</v>
      </c>
    </row>
    <row r="17" spans="1:11" x14ac:dyDescent="0.2">
      <c r="A17" s="177">
        <v>5</v>
      </c>
      <c r="B17" s="179" t="str">
        <f>VLOOKUP(A17,ORÇAMENTO_R03!A13:L85,4,1)</f>
        <v>FUNDAÇÕES</v>
      </c>
      <c r="C17" s="7" t="str">
        <f>IF(C18="","",C18*$H17)</f>
        <v/>
      </c>
      <c r="D17" s="7">
        <f>IF(D18="","",D18*$H17)</f>
        <v>0</v>
      </c>
      <c r="E17" s="7">
        <f>IF(E18="","",E18*$H17)</f>
        <v>0</v>
      </c>
      <c r="F17" s="7">
        <f>IF(F18="","",F18*$H17)</f>
        <v>0</v>
      </c>
      <c r="G17" s="7" t="str">
        <f>IF(G18="","",G18*$H17)</f>
        <v/>
      </c>
      <c r="H17" s="181">
        <f>VLOOKUP(A17,ORÇAMENTO_R03!A13:L85,11,1)</f>
        <v>0</v>
      </c>
      <c r="I17" s="183" t="e">
        <f>H17/$H$36</f>
        <v>#DIV/0!</v>
      </c>
      <c r="K17" s="8"/>
    </row>
    <row r="18" spans="1:11" x14ac:dyDescent="0.2">
      <c r="A18" s="178"/>
      <c r="B18" s="180"/>
      <c r="C18" s="9"/>
      <c r="D18" s="9">
        <v>0.2</v>
      </c>
      <c r="E18" s="9">
        <v>0.4</v>
      </c>
      <c r="F18" s="9">
        <v>0.4</v>
      </c>
      <c r="G18" s="9"/>
      <c r="H18" s="182"/>
      <c r="I18" s="184"/>
      <c r="K18" s="8" t="str">
        <f>IF(SUM(B18:G18)=100%,"Ok","Revisar percentuais")</f>
        <v>Ok</v>
      </c>
    </row>
    <row r="19" spans="1:11" ht="14.25" customHeight="1" x14ac:dyDescent="0.2">
      <c r="A19" s="177">
        <v>6</v>
      </c>
      <c r="B19" s="179" t="str">
        <f>VLOOKUP(A19,ORÇAMENTO_R03!A15:L87,4,1)</f>
        <v>ESTRUTURA EM TRELIÇA METÁLICA (TRAVESSIA AÉREA)</v>
      </c>
      <c r="C19" s="7" t="str">
        <f>IF(C20="","",C20*$H19)</f>
        <v/>
      </c>
      <c r="D19" s="7" t="str">
        <f>IF(D20="","",D20*$H19)</f>
        <v/>
      </c>
      <c r="E19" s="7">
        <f>IF(E20="","",E20*$H19)</f>
        <v>0</v>
      </c>
      <c r="F19" s="7">
        <f>IF(F20="","",F20*$H19)</f>
        <v>0</v>
      </c>
      <c r="G19" s="7" t="str">
        <f>IF(G20="","",G20*$H19)</f>
        <v/>
      </c>
      <c r="H19" s="181">
        <f>VLOOKUP(A19,ORÇAMENTO_R03!A15:L87,11,1)</f>
        <v>0</v>
      </c>
      <c r="I19" s="183" t="e">
        <f>H19/$H$36</f>
        <v>#DIV/0!</v>
      </c>
      <c r="K19" s="8"/>
    </row>
    <row r="20" spans="1:11" x14ac:dyDescent="0.2">
      <c r="A20" s="178"/>
      <c r="B20" s="180"/>
      <c r="C20" s="9"/>
      <c r="D20" s="9"/>
      <c r="E20" s="9">
        <v>0.5</v>
      </c>
      <c r="F20" s="9">
        <v>0.5</v>
      </c>
      <c r="G20" s="9"/>
      <c r="H20" s="182"/>
      <c r="I20" s="184"/>
      <c r="K20" s="8" t="str">
        <f>IF(SUM(B20:G20)=100%,"Ok","Revisar percentuais")</f>
        <v>Ok</v>
      </c>
    </row>
    <row r="21" spans="1:11" x14ac:dyDescent="0.2">
      <c r="A21" s="177">
        <v>7</v>
      </c>
      <c r="B21" s="179" t="str">
        <f>VLOOKUP(A21,ORÇAMENTO_R03!A17:L89,4,1)</f>
        <v>ESCAVAÇÃO E PREPARO DO FUNDO DE VALA PARA ASSENTAMENTO DE TUBOS</v>
      </c>
      <c r="C21" s="7" t="str">
        <f>IF(C22="","",C22*$H21)</f>
        <v/>
      </c>
      <c r="D21" s="7"/>
      <c r="E21" s="7" t="str">
        <f>IF(E22="","",E22*$H21)</f>
        <v/>
      </c>
      <c r="F21" s="7">
        <f>IF(F22="","",ROUND((F22*$H21),2))</f>
        <v>0</v>
      </c>
      <c r="G21" s="7">
        <f>IF(G22="","",ROUND((G22*$H21),2))-0.01</f>
        <v>-0.01</v>
      </c>
      <c r="H21" s="181">
        <f>VLOOKUP(A21,ORÇAMENTO_R03!A17:L89,11,1)</f>
        <v>0</v>
      </c>
      <c r="I21" s="183" t="e">
        <f>H21/$H$36</f>
        <v>#DIV/0!</v>
      </c>
      <c r="K21" s="8"/>
    </row>
    <row r="22" spans="1:11" x14ac:dyDescent="0.2">
      <c r="A22" s="178"/>
      <c r="B22" s="180"/>
      <c r="C22" s="9"/>
      <c r="D22" s="9"/>
      <c r="E22" s="9"/>
      <c r="F22" s="9">
        <v>0.8</v>
      </c>
      <c r="G22" s="9">
        <v>0.2</v>
      </c>
      <c r="H22" s="182"/>
      <c r="I22" s="184"/>
      <c r="K22" s="8" t="str">
        <f>IF(SUM(B22:G22)=100%,"Ok","Revisar percentuais")</f>
        <v>Ok</v>
      </c>
    </row>
    <row r="23" spans="1:11" ht="14.25" customHeight="1" x14ac:dyDescent="0.2">
      <c r="A23" s="177">
        <v>8</v>
      </c>
      <c r="B23" s="179" t="str">
        <f>VLOOKUP(A23,ORÇAMENTO_R03!A19:L91,4,1)</f>
        <v>FORNECIMENTO E ASSENTAMENTO DE TUBOS</v>
      </c>
      <c r="C23" s="7" t="str">
        <f>IF(C24="","",C24*$H23)</f>
        <v/>
      </c>
      <c r="D23" s="7" t="str">
        <f>IF(D24="","",D24*$H23)</f>
        <v/>
      </c>
      <c r="E23" s="7">
        <f>IF(E24="","",E24*$H23)</f>
        <v>0</v>
      </c>
      <c r="F23" s="7">
        <f>IF(F24="","",F24*$H23)</f>
        <v>0</v>
      </c>
      <c r="G23" s="7">
        <f>IF(G24="","",G24*$H23)</f>
        <v>0</v>
      </c>
      <c r="H23" s="181">
        <f>VLOOKUP(A23,ORÇAMENTO_R03!A19:L91,11,1)</f>
        <v>0</v>
      </c>
      <c r="I23" s="183" t="e">
        <f>H23/$H$36</f>
        <v>#DIV/0!</v>
      </c>
      <c r="K23" s="8"/>
    </row>
    <row r="24" spans="1:11" x14ac:dyDescent="0.2">
      <c r="A24" s="178"/>
      <c r="B24" s="180"/>
      <c r="C24" s="9"/>
      <c r="D24" s="9"/>
      <c r="E24" s="9">
        <v>0.4</v>
      </c>
      <c r="F24" s="9">
        <v>0.5</v>
      </c>
      <c r="G24" s="9">
        <v>0.1</v>
      </c>
      <c r="H24" s="182"/>
      <c r="I24" s="184"/>
      <c r="K24" s="8" t="str">
        <f>IF(SUM(B24:G24)=100%,"Ok","Revisar percentuais")</f>
        <v>Ok</v>
      </c>
    </row>
    <row r="25" spans="1:11" x14ac:dyDescent="0.2">
      <c r="A25" s="177">
        <v>9</v>
      </c>
      <c r="B25" s="179" t="str">
        <f>VLOOKUP(A25,ORÇAMENTO_R03!A21:L93,4,1)</f>
        <v>POÇOS DE VISITA (PV)</v>
      </c>
      <c r="C25" s="7" t="str">
        <f>IF(C26="","",C26*$H25)</f>
        <v/>
      </c>
      <c r="D25" s="7" t="str">
        <f>IF(D26="","",D26*$H25)</f>
        <v/>
      </c>
      <c r="E25" s="7" t="str">
        <f>IF(E26="","",E26*$H25)</f>
        <v/>
      </c>
      <c r="F25" s="7">
        <f>IF(F26="","",F26*$H25)</f>
        <v>0</v>
      </c>
      <c r="G25" s="7" t="str">
        <f>IF(G26="","",G26*$H25)</f>
        <v/>
      </c>
      <c r="H25" s="181">
        <f>VLOOKUP(A25,ORÇAMENTO_R03!A21:L93,11,1)</f>
        <v>0</v>
      </c>
      <c r="I25" s="183" t="e">
        <f>H25/$H$36</f>
        <v>#DIV/0!</v>
      </c>
      <c r="K25" s="8"/>
    </row>
    <row r="26" spans="1:11" x14ac:dyDescent="0.2">
      <c r="A26" s="178"/>
      <c r="B26" s="180"/>
      <c r="C26" s="9"/>
      <c r="D26" s="9"/>
      <c r="E26" s="9"/>
      <c r="F26" s="9">
        <v>1</v>
      </c>
      <c r="G26" s="9"/>
      <c r="H26" s="182"/>
      <c r="I26" s="184"/>
      <c r="K26" s="8" t="str">
        <f>IF(SUM(B26:G26)=100%,"Ok","Revisar percentuais")</f>
        <v>Ok</v>
      </c>
    </row>
    <row r="27" spans="1:11" x14ac:dyDescent="0.2">
      <c r="A27" s="177">
        <v>10</v>
      </c>
      <c r="B27" s="179" t="str">
        <f>VLOOKUP(A27,ORÇAMENTO_R03!A23:L95,4,1)</f>
        <v>REATERRO DE VALA DOS  TUBOS ASSENTADOS</v>
      </c>
      <c r="C27" s="7" t="str">
        <f>IF(C28="","",C28*$H27)</f>
        <v/>
      </c>
      <c r="D27" s="7" t="str">
        <f>IF(D28="","",D28*$H27)</f>
        <v/>
      </c>
      <c r="E27" s="7" t="str">
        <f>IF(E28="","",E28*$H27)</f>
        <v/>
      </c>
      <c r="F27" s="7">
        <f>IF(F28="","",F28*$H27)</f>
        <v>0</v>
      </c>
      <c r="G27" s="7">
        <f>IF(G28="","",G28*$H27)</f>
        <v>0</v>
      </c>
      <c r="H27" s="181">
        <f>VLOOKUP(A27,ORÇAMENTO_R03!A23:L95,11,1)</f>
        <v>0</v>
      </c>
      <c r="I27" s="183" t="e">
        <f>H27/$H$36</f>
        <v>#DIV/0!</v>
      </c>
      <c r="K27" s="8"/>
    </row>
    <row r="28" spans="1:11" x14ac:dyDescent="0.2">
      <c r="A28" s="178"/>
      <c r="B28" s="180"/>
      <c r="C28" s="9"/>
      <c r="D28" s="9"/>
      <c r="E28" s="9"/>
      <c r="F28" s="9">
        <v>0.8</v>
      </c>
      <c r="G28" s="9">
        <v>0.2</v>
      </c>
      <c r="H28" s="182"/>
      <c r="I28" s="184"/>
      <c r="K28" s="8" t="str">
        <f>IF(SUM(B28:G28)=100%,"Ok","Revisar percentuais")</f>
        <v>Ok</v>
      </c>
    </row>
    <row r="29" spans="1:11" x14ac:dyDescent="0.2">
      <c r="A29" s="177">
        <v>11</v>
      </c>
      <c r="B29" s="179" t="str">
        <f>VLOOKUP(A29,ORÇAMENTO_R03!A25:L97,4,1)</f>
        <v>ATERRO DO TALUDE</v>
      </c>
      <c r="C29" s="7" t="str">
        <f>IF(C30="","",C30*$H29)</f>
        <v/>
      </c>
      <c r="D29" s="7" t="str">
        <f>IF(D30="","",D30*$H29)</f>
        <v/>
      </c>
      <c r="E29" s="7">
        <f>IF(E30="","",E30*$H29)</f>
        <v>0</v>
      </c>
      <c r="F29" s="7">
        <f>IF(F30="","",F30*$H29)</f>
        <v>0</v>
      </c>
      <c r="G29" s="7" t="str">
        <f>IF(G30="","",G30*$H29)</f>
        <v/>
      </c>
      <c r="H29" s="181">
        <f>VLOOKUP(A29,ORÇAMENTO_R03!A25:L97,11,1)</f>
        <v>0</v>
      </c>
      <c r="I29" s="183" t="e">
        <f>H29/$H$36</f>
        <v>#DIV/0!</v>
      </c>
      <c r="K29" s="8"/>
    </row>
    <row r="30" spans="1:11" x14ac:dyDescent="0.2">
      <c r="A30" s="178"/>
      <c r="B30" s="180"/>
      <c r="C30" s="9"/>
      <c r="D30" s="9"/>
      <c r="E30" s="9">
        <v>0.2</v>
      </c>
      <c r="F30" s="9">
        <v>0.8</v>
      </c>
      <c r="G30" s="9"/>
      <c r="H30" s="182"/>
      <c r="I30" s="184"/>
      <c r="K30" s="8" t="str">
        <f>IF(SUM(B30:G30)=100%,"Ok","Revisar percentuais")</f>
        <v>Ok</v>
      </c>
    </row>
    <row r="31" spans="1:11" x14ac:dyDescent="0.2">
      <c r="A31" s="177">
        <v>12</v>
      </c>
      <c r="B31" s="179" t="str">
        <f>VLOOKUP(A31,ORÇAMENTO_R03!A27:L99,4,1)</f>
        <v>ELABORAÇÃO DE VIDEO PUBLICITÁRIO E PRESS RELEASE</v>
      </c>
      <c r="C31" s="7" t="str">
        <f>IF(C32="","",C32*$H31)</f>
        <v/>
      </c>
      <c r="D31" s="7" t="str">
        <f>IF(D32="","",D32*$H31)</f>
        <v/>
      </c>
      <c r="E31" s="7" t="str">
        <f>IF(E32="","",E32*$H31)</f>
        <v/>
      </c>
      <c r="F31" s="7" t="str">
        <f>IF(F32="","",F32*$H31)</f>
        <v/>
      </c>
      <c r="G31" s="7">
        <f>IF(G32="","",G32*$H31)</f>
        <v>0</v>
      </c>
      <c r="H31" s="181">
        <f>VLOOKUP(A31,ORÇAMENTO_R03!A27:L99,11,1)</f>
        <v>0</v>
      </c>
      <c r="I31" s="183" t="e">
        <f>H31/$H$36</f>
        <v>#DIV/0!</v>
      </c>
      <c r="K31" s="8"/>
    </row>
    <row r="32" spans="1:11" x14ac:dyDescent="0.2">
      <c r="A32" s="178"/>
      <c r="B32" s="180"/>
      <c r="C32" s="9"/>
      <c r="D32" s="9"/>
      <c r="E32" s="9"/>
      <c r="F32" s="9"/>
      <c r="G32" s="9">
        <v>1</v>
      </c>
      <c r="H32" s="182"/>
      <c r="I32" s="184"/>
      <c r="K32" s="8" t="str">
        <f>IF(SUM(B32:G32)=100%,"Ok","Revisar percentuais")</f>
        <v>Ok</v>
      </c>
    </row>
    <row r="33" spans="1:16" x14ac:dyDescent="0.2">
      <c r="A33" s="177">
        <v>13</v>
      </c>
      <c r="B33" s="179" t="str">
        <f>VLOOKUP(A33,ORÇAMENTO_R03!A29:L101,4,1)</f>
        <v>SERVIÇOS COMPLEMENTARES</v>
      </c>
      <c r="C33" s="7" t="str">
        <f>IF(C34="","",C34*$H33)</f>
        <v/>
      </c>
      <c r="D33" s="7" t="str">
        <f>IF(D34="","",D34*$H33)</f>
        <v/>
      </c>
      <c r="E33" s="7" t="str">
        <f>IF(E34="","",E34*$H33)</f>
        <v/>
      </c>
      <c r="F33" s="7" t="str">
        <f>IF(F34="","",F34*$H33)</f>
        <v/>
      </c>
      <c r="G33" s="7">
        <f>IF(G34="","",G34*$H33)</f>
        <v>0</v>
      </c>
      <c r="H33" s="181">
        <f>VLOOKUP(A33,ORÇAMENTO_R03!A29:L101,11,1)</f>
        <v>0</v>
      </c>
      <c r="I33" s="183" t="e">
        <f>H33/$H$36</f>
        <v>#DIV/0!</v>
      </c>
      <c r="K33" s="8"/>
    </row>
    <row r="34" spans="1:16" x14ac:dyDescent="0.2">
      <c r="A34" s="178"/>
      <c r="B34" s="180"/>
      <c r="C34" s="9"/>
      <c r="D34" s="9"/>
      <c r="E34" s="9"/>
      <c r="F34" s="9"/>
      <c r="G34" s="9">
        <v>1</v>
      </c>
      <c r="H34" s="182"/>
      <c r="I34" s="184"/>
      <c r="K34" s="8" t="str">
        <f>IF(SUM(B34:G34)=100%,"Ok","Revisar percentuais")</f>
        <v>Ok</v>
      </c>
    </row>
    <row r="35" spans="1:16" x14ac:dyDescent="0.2">
      <c r="A35" s="4"/>
      <c r="B35" s="10"/>
      <c r="C35" s="11"/>
      <c r="D35" s="11"/>
      <c r="E35" s="11"/>
      <c r="F35" s="11"/>
      <c r="G35" s="11"/>
      <c r="H35" s="12"/>
      <c r="I35" s="13"/>
      <c r="K35" s="8"/>
    </row>
    <row r="36" spans="1:16" x14ac:dyDescent="0.2">
      <c r="A36" s="188" t="s">
        <v>63</v>
      </c>
      <c r="B36" s="188"/>
      <c r="C36" s="14" t="e">
        <f>SUM(C9,C11,C13,C15,C17,C19,C21,C23,C25,C27,C29,C31,C33)</f>
        <v>#DIV/0!</v>
      </c>
      <c r="D36" s="14" t="e">
        <f t="shared" ref="D36:G36" si="0">SUM(D9,D11,D13,D15,D17,D19,D21,D23,D25,D27,D29,D31,D33)</f>
        <v>#DIV/0!</v>
      </c>
      <c r="E36" s="14" t="e">
        <f t="shared" si="0"/>
        <v>#DIV/0!</v>
      </c>
      <c r="F36" s="14" t="e">
        <f t="shared" si="0"/>
        <v>#DIV/0!</v>
      </c>
      <c r="G36" s="14" t="e">
        <f t="shared" si="0"/>
        <v>#DIV/0!</v>
      </c>
      <c r="H36" s="190">
        <f>SUM(H9:H34)</f>
        <v>0</v>
      </c>
      <c r="I36" s="192" t="e">
        <f>SUM(I9:I34)</f>
        <v>#DIV/0!</v>
      </c>
    </row>
    <row r="37" spans="1:16" x14ac:dyDescent="0.2">
      <c r="A37" s="189"/>
      <c r="B37" s="189"/>
      <c r="C37" s="15" t="e">
        <f>C36/$H$36</f>
        <v>#DIV/0!</v>
      </c>
      <c r="D37" s="15" t="e">
        <f>D36/$H$36</f>
        <v>#DIV/0!</v>
      </c>
      <c r="E37" s="15" t="e">
        <f>E36/$H$36</f>
        <v>#DIV/0!</v>
      </c>
      <c r="F37" s="15" t="e">
        <f>F36/$H$36</f>
        <v>#DIV/0!</v>
      </c>
      <c r="G37" s="15" t="e">
        <f>G36/$H$36</f>
        <v>#DIV/0!</v>
      </c>
      <c r="H37" s="191"/>
      <c r="I37" s="189"/>
    </row>
    <row r="38" spans="1:16" ht="15.75" x14ac:dyDescent="0.2">
      <c r="A38" s="160"/>
      <c r="B38" s="160" t="s">
        <v>252</v>
      </c>
      <c r="C38" s="14" t="e">
        <f>C36*$I$38</f>
        <v>#DIV/0!</v>
      </c>
      <c r="D38" s="14" t="e">
        <f t="shared" ref="D38:G38" si="1">D36*$I$38</f>
        <v>#DIV/0!</v>
      </c>
      <c r="E38" s="14" t="e">
        <f t="shared" si="1"/>
        <v>#DIV/0!</v>
      </c>
      <c r="F38" s="14" t="e">
        <f t="shared" si="1"/>
        <v>#DIV/0!</v>
      </c>
      <c r="G38" s="14" t="e">
        <f t="shared" si="1"/>
        <v>#DIV/0!</v>
      </c>
      <c r="H38" s="161"/>
      <c r="I38" s="162">
        <v>0.34773467477967446</v>
      </c>
    </row>
    <row r="39" spans="1:16" ht="15.75" x14ac:dyDescent="0.2">
      <c r="A39" s="160"/>
      <c r="B39" s="160" t="s">
        <v>241</v>
      </c>
      <c r="C39" s="14" t="e">
        <f>C36-C38</f>
        <v>#DIV/0!</v>
      </c>
      <c r="D39" s="14" t="e">
        <f t="shared" ref="D39:G39" si="2">D36-D38</f>
        <v>#DIV/0!</v>
      </c>
      <c r="E39" s="14" t="e">
        <f t="shared" si="2"/>
        <v>#DIV/0!</v>
      </c>
      <c r="F39" s="14" t="e">
        <f t="shared" si="2"/>
        <v>#DIV/0!</v>
      </c>
      <c r="G39" s="14" t="e">
        <f t="shared" si="2"/>
        <v>#DIV/0!</v>
      </c>
      <c r="H39" s="161"/>
      <c r="I39" s="162">
        <v>0.65226532522032532</v>
      </c>
    </row>
    <row r="40" spans="1:16" x14ac:dyDescent="0.2">
      <c r="A40" s="193" t="s">
        <v>64</v>
      </c>
      <c r="B40" s="193"/>
      <c r="C40" s="16" t="e">
        <f>C36</f>
        <v>#DIV/0!</v>
      </c>
      <c r="D40" s="16" t="e">
        <f t="shared" ref="D40" si="3">C40+D36</f>
        <v>#DIV/0!</v>
      </c>
      <c r="E40" s="16" t="e">
        <f t="shared" ref="E40" si="4">D40+E36</f>
        <v>#DIV/0!</v>
      </c>
      <c r="F40" s="16" t="e">
        <f t="shared" ref="F40" si="5">E40+F36</f>
        <v>#DIV/0!</v>
      </c>
      <c r="G40" s="16" t="e">
        <f>F40+G36+0.01</f>
        <v>#DIV/0!</v>
      </c>
      <c r="H40" s="195" t="e">
        <f>IF(H36=G40,"","ERRO")</f>
        <v>#DIV/0!</v>
      </c>
      <c r="I40" s="193"/>
    </row>
    <row r="41" spans="1:16" x14ac:dyDescent="0.2">
      <c r="A41" s="194"/>
      <c r="B41" s="194"/>
      <c r="C41" s="17" t="e">
        <f>C40/$H$36</f>
        <v>#DIV/0!</v>
      </c>
      <c r="D41" s="17" t="e">
        <f>D40/$H$36</f>
        <v>#DIV/0!</v>
      </c>
      <c r="E41" s="17" t="e">
        <f>E40/$H$36</f>
        <v>#DIV/0!</v>
      </c>
      <c r="F41" s="17" t="e">
        <f>F40/$H$36</f>
        <v>#DIV/0!</v>
      </c>
      <c r="G41" s="17" t="e">
        <f>G40/$H$36</f>
        <v>#DIV/0!</v>
      </c>
      <c r="H41" s="196"/>
      <c r="I41" s="194"/>
    </row>
    <row r="42" spans="1:16" x14ac:dyDescent="0.2">
      <c r="A42" s="8"/>
      <c r="B42" s="8"/>
      <c r="C42" s="8"/>
      <c r="D42" s="8"/>
      <c r="E42" s="8"/>
      <c r="F42" s="8"/>
      <c r="G42" s="8"/>
      <c r="H42" s="8"/>
      <c r="I42" s="8"/>
    </row>
    <row r="43" spans="1:16" s="61" customFormat="1" x14ac:dyDescent="0.2">
      <c r="A43" s="186" t="str">
        <f>ORÇAMENTO_R03!A82</f>
        <v>São Carlos, 20 de maio de 2026.</v>
      </c>
      <c r="B43" s="186"/>
      <c r="C43" s="186"/>
      <c r="D43" s="186"/>
      <c r="E43" s="186"/>
      <c r="F43" s="186"/>
      <c r="G43" s="186"/>
      <c r="H43" s="186"/>
      <c r="I43" s="186"/>
      <c r="J43" s="83"/>
      <c r="K43" s="83"/>
      <c r="P43" s="62"/>
    </row>
    <row r="44" spans="1:16" s="61" customFormat="1" x14ac:dyDescent="0.2">
      <c r="A44" s="82"/>
      <c r="B44" s="82"/>
      <c r="C44" s="82"/>
      <c r="D44" s="82"/>
      <c r="E44" s="82"/>
      <c r="F44" s="82"/>
      <c r="G44" s="82"/>
      <c r="H44" s="82"/>
      <c r="I44" s="82"/>
      <c r="J44" s="83"/>
      <c r="K44" s="83"/>
      <c r="P44" s="62"/>
    </row>
    <row r="45" spans="1:16" s="61" customFormat="1" x14ac:dyDescent="0.2">
      <c r="A45" s="157"/>
      <c r="B45" s="157"/>
      <c r="C45" s="157"/>
      <c r="D45" s="157"/>
      <c r="E45" s="157"/>
      <c r="F45" s="157"/>
      <c r="G45" s="157"/>
      <c r="H45" s="157"/>
      <c r="I45" s="157"/>
      <c r="J45" s="83"/>
      <c r="K45" s="83"/>
      <c r="P45" s="62"/>
    </row>
    <row r="46" spans="1:16" s="61" customFormat="1" x14ac:dyDescent="0.2">
      <c r="A46" s="157"/>
      <c r="B46" s="157"/>
      <c r="C46" s="157"/>
      <c r="D46" s="157"/>
      <c r="E46" s="157"/>
      <c r="F46" s="157"/>
      <c r="G46" s="157"/>
      <c r="H46" s="157"/>
      <c r="I46" s="157"/>
      <c r="J46" s="83"/>
      <c r="K46" s="83"/>
      <c r="P46" s="62"/>
    </row>
    <row r="47" spans="1:16" s="61" customFormat="1" x14ac:dyDescent="0.2">
      <c r="A47" s="157"/>
      <c r="B47" s="157"/>
      <c r="C47" s="157"/>
      <c r="D47" s="157"/>
      <c r="E47" s="157"/>
      <c r="F47" s="157"/>
      <c r="G47" s="157"/>
      <c r="H47" s="157"/>
      <c r="I47" s="157"/>
      <c r="J47" s="83"/>
      <c r="K47" s="83"/>
      <c r="P47" s="62"/>
    </row>
    <row r="48" spans="1:16" s="61" customFormat="1" x14ac:dyDescent="0.2">
      <c r="A48" s="82"/>
      <c r="B48" s="82"/>
      <c r="C48" s="82"/>
      <c r="D48" s="82"/>
      <c r="E48" s="82"/>
      <c r="F48" s="82"/>
      <c r="G48" s="82"/>
      <c r="H48" s="82"/>
      <c r="I48" s="82"/>
      <c r="J48" s="83"/>
      <c r="K48" s="83"/>
      <c r="P48" s="62"/>
    </row>
    <row r="49" spans="1:16" s="61" customFormat="1" ht="15" thickBot="1" x14ac:dyDescent="0.25">
      <c r="A49" s="82"/>
      <c r="B49" s="86"/>
      <c r="C49" s="86"/>
      <c r="D49" s="82"/>
      <c r="E49" s="82"/>
      <c r="F49" s="86"/>
      <c r="G49" s="86"/>
      <c r="H49" s="82"/>
      <c r="I49" s="82"/>
      <c r="J49" s="83"/>
      <c r="K49" s="83"/>
      <c r="P49" s="62"/>
    </row>
    <row r="50" spans="1:16" s="61" customFormat="1" x14ac:dyDescent="0.2">
      <c r="B50" s="197" t="s">
        <v>125</v>
      </c>
      <c r="C50" s="197"/>
      <c r="E50" s="73"/>
      <c r="F50" s="197" t="s">
        <v>126</v>
      </c>
      <c r="G50" s="197"/>
      <c r="H50" s="85"/>
      <c r="P50" s="62"/>
    </row>
    <row r="51" spans="1:16" s="61" customFormat="1" x14ac:dyDescent="0.2">
      <c r="B51" s="185"/>
      <c r="C51" s="185"/>
      <c r="E51" s="73"/>
      <c r="F51" s="198"/>
      <c r="G51" s="198"/>
      <c r="H51" s="84"/>
      <c r="P51" s="62"/>
    </row>
    <row r="52" spans="1:16" s="61" customFormat="1" x14ac:dyDescent="0.2">
      <c r="B52" s="185"/>
      <c r="C52" s="185"/>
      <c r="E52" s="76"/>
      <c r="F52" s="198"/>
      <c r="G52" s="198"/>
      <c r="H52" s="84"/>
      <c r="I52" s="84"/>
      <c r="J52" s="71"/>
      <c r="K52" s="71"/>
      <c r="P52" s="62"/>
    </row>
    <row r="53" spans="1:16" s="61" customFormat="1" x14ac:dyDescent="0.2">
      <c r="B53" s="159"/>
      <c r="C53" s="159"/>
      <c r="E53" s="159"/>
      <c r="F53" s="198"/>
      <c r="G53" s="198"/>
      <c r="H53" s="84"/>
      <c r="I53" s="84"/>
      <c r="J53" s="71"/>
      <c r="K53" s="71"/>
      <c r="P53" s="62"/>
    </row>
    <row r="54" spans="1:16" s="61" customFormat="1" x14ac:dyDescent="0.2">
      <c r="C54"/>
      <c r="D54"/>
      <c r="E54"/>
      <c r="F54"/>
      <c r="G54"/>
      <c r="H54" s="80"/>
      <c r="I54"/>
      <c r="J54"/>
      <c r="K54" s="81"/>
      <c r="P54" s="62"/>
    </row>
    <row r="56" spans="1:16" x14ac:dyDescent="0.2">
      <c r="A56" s="8"/>
      <c r="B56" s="8"/>
      <c r="C56" s="8"/>
      <c r="D56" s="8"/>
      <c r="E56" s="8"/>
      <c r="F56" s="8"/>
      <c r="G56" s="8"/>
      <c r="H56" s="8"/>
      <c r="I56" s="8"/>
    </row>
    <row r="57" spans="1:16" x14ac:dyDescent="0.2">
      <c r="A57" s="8"/>
      <c r="B57" s="8"/>
      <c r="C57" s="8"/>
      <c r="D57" s="8"/>
      <c r="E57" s="8"/>
      <c r="F57" s="8"/>
      <c r="G57" s="8"/>
      <c r="H57" s="8"/>
      <c r="I57" s="8"/>
    </row>
    <row r="58" spans="1:16" x14ac:dyDescent="0.2">
      <c r="A58" s="8"/>
      <c r="B58" s="8"/>
      <c r="C58" s="8"/>
      <c r="D58" s="8"/>
      <c r="E58" s="8"/>
      <c r="F58" s="8"/>
      <c r="G58" s="8"/>
      <c r="H58" s="187"/>
      <c r="I58" s="187"/>
    </row>
    <row r="59" spans="1:16" x14ac:dyDescent="0.2">
      <c r="A59" s="8"/>
      <c r="B59" s="8"/>
      <c r="C59" s="8"/>
      <c r="D59" s="8"/>
      <c r="E59" s="8"/>
      <c r="F59" s="8"/>
      <c r="G59" s="8"/>
      <c r="H59" s="8"/>
      <c r="I59" s="8"/>
    </row>
    <row r="60" spans="1:16" x14ac:dyDescent="0.2">
      <c r="A60" s="8"/>
      <c r="B60" s="8"/>
      <c r="C60" s="8"/>
      <c r="D60" s="8"/>
      <c r="E60" s="8"/>
      <c r="F60" s="8"/>
      <c r="G60" s="8"/>
      <c r="H60" s="8"/>
      <c r="I60" s="8"/>
    </row>
    <row r="61" spans="1:16" x14ac:dyDescent="0.2">
      <c r="A61" s="8"/>
      <c r="B61" s="8"/>
      <c r="C61" s="8"/>
      <c r="D61" s="8"/>
      <c r="E61" s="8"/>
      <c r="F61" s="8"/>
      <c r="G61" s="8"/>
      <c r="H61" s="8"/>
      <c r="I61" s="8"/>
    </row>
    <row r="62" spans="1:16" x14ac:dyDescent="0.2">
      <c r="A62" s="8"/>
      <c r="B62" s="18"/>
      <c r="C62" s="8"/>
      <c r="D62" s="8"/>
      <c r="E62" s="8"/>
      <c r="F62" s="8"/>
      <c r="G62" s="8"/>
      <c r="H62" s="18"/>
      <c r="I62" s="19"/>
    </row>
    <row r="63" spans="1:16" x14ac:dyDescent="0.2">
      <c r="A63" s="20"/>
      <c r="B63" s="20"/>
      <c r="C63" s="21"/>
      <c r="D63" s="20"/>
      <c r="E63" s="20"/>
      <c r="F63" s="20"/>
      <c r="G63" s="20"/>
      <c r="H63" s="22"/>
      <c r="I63" s="22"/>
    </row>
  </sheetData>
  <mergeCells count="77">
    <mergeCell ref="A7:A8"/>
    <mergeCell ref="B7:B8"/>
    <mergeCell ref="C7:G7"/>
    <mergeCell ref="H7:H8"/>
    <mergeCell ref="I7:I8"/>
    <mergeCell ref="B1:I1"/>
    <mergeCell ref="A2:I2"/>
    <mergeCell ref="A3:G5"/>
    <mergeCell ref="H3:H4"/>
    <mergeCell ref="I3:I4"/>
    <mergeCell ref="A9:A10"/>
    <mergeCell ref="B9:B10"/>
    <mergeCell ref="H9:H10"/>
    <mergeCell ref="I9:I10"/>
    <mergeCell ref="A11:A12"/>
    <mergeCell ref="B11:B12"/>
    <mergeCell ref="H11:H12"/>
    <mergeCell ref="I11:I12"/>
    <mergeCell ref="A13:A14"/>
    <mergeCell ref="B13:B14"/>
    <mergeCell ref="H13:H14"/>
    <mergeCell ref="I13:I14"/>
    <mergeCell ref="A15:A16"/>
    <mergeCell ref="B15:B16"/>
    <mergeCell ref="H15:H16"/>
    <mergeCell ref="I15:I16"/>
    <mergeCell ref="A17:A18"/>
    <mergeCell ref="B17:B18"/>
    <mergeCell ref="H17:H18"/>
    <mergeCell ref="I17:I18"/>
    <mergeCell ref="A19:A20"/>
    <mergeCell ref="B19:B20"/>
    <mergeCell ref="H19:H20"/>
    <mergeCell ref="I19:I20"/>
    <mergeCell ref="A33:A34"/>
    <mergeCell ref="B33:B34"/>
    <mergeCell ref="H33:H34"/>
    <mergeCell ref="I33:I34"/>
    <mergeCell ref="A21:A22"/>
    <mergeCell ref="B21:B22"/>
    <mergeCell ref="H21:H22"/>
    <mergeCell ref="I21:I22"/>
    <mergeCell ref="A23:A24"/>
    <mergeCell ref="B23:B24"/>
    <mergeCell ref="H23:H24"/>
    <mergeCell ref="I23:I24"/>
    <mergeCell ref="A25:A26"/>
    <mergeCell ref="B25:B26"/>
    <mergeCell ref="H25:H26"/>
    <mergeCell ref="I25:I26"/>
    <mergeCell ref="B51:C51"/>
    <mergeCell ref="B52:C52"/>
    <mergeCell ref="A43:I43"/>
    <mergeCell ref="H58:I58"/>
    <mergeCell ref="A36:B37"/>
    <mergeCell ref="H36:H37"/>
    <mergeCell ref="I36:I37"/>
    <mergeCell ref="A40:B41"/>
    <mergeCell ref="H40:H41"/>
    <mergeCell ref="I40:I41"/>
    <mergeCell ref="F50:G50"/>
    <mergeCell ref="F51:G51"/>
    <mergeCell ref="F52:G52"/>
    <mergeCell ref="B50:C50"/>
    <mergeCell ref="F53:G53"/>
    <mergeCell ref="A31:A32"/>
    <mergeCell ref="B31:B32"/>
    <mergeCell ref="H31:H32"/>
    <mergeCell ref="I31:I32"/>
    <mergeCell ref="A27:A28"/>
    <mergeCell ref="B27:B28"/>
    <mergeCell ref="H27:H28"/>
    <mergeCell ref="I27:I28"/>
    <mergeCell ref="A29:A30"/>
    <mergeCell ref="B29:B30"/>
    <mergeCell ref="H29:H30"/>
    <mergeCell ref="I29:I30"/>
  </mergeCells>
  <conditionalFormatting sqref="C9:D9 C11:D11 C13:D13 C15:D15 C17:D17 C19:D19 C21:D21 C23:D23 C33:D33 G33 G23 G21 G19 G17 G15 G13 G11 G9">
    <cfRule type="notContainsBlanks" dxfId="14" priority="15">
      <formula>LEN(TRIM(C9))&gt;0</formula>
    </cfRule>
  </conditionalFormatting>
  <conditionalFormatting sqref="E33 E23 E21 E17 E15 E13 E11 E9">
    <cfRule type="notContainsBlanks" dxfId="13" priority="14">
      <formula>LEN(TRIM(E9))&gt;0</formula>
    </cfRule>
  </conditionalFormatting>
  <conditionalFormatting sqref="F33 F23 F21 F17 F15 F13 F11 F9 E19:F19">
    <cfRule type="notContainsBlanks" dxfId="12" priority="13">
      <formula>LEN(TRIM(E9))&gt;0</formula>
    </cfRule>
  </conditionalFormatting>
  <conditionalFormatting sqref="C25:D25 G25">
    <cfRule type="notContainsBlanks" dxfId="11" priority="12">
      <formula>LEN(TRIM(C25))&gt;0</formula>
    </cfRule>
  </conditionalFormatting>
  <conditionalFormatting sqref="E25">
    <cfRule type="notContainsBlanks" dxfId="10" priority="11">
      <formula>LEN(TRIM(E25))&gt;0</formula>
    </cfRule>
  </conditionalFormatting>
  <conditionalFormatting sqref="F25">
    <cfRule type="notContainsBlanks" dxfId="9" priority="10">
      <formula>LEN(TRIM(F25))&gt;0</formula>
    </cfRule>
  </conditionalFormatting>
  <conditionalFormatting sqref="C31:D31 G31">
    <cfRule type="notContainsBlanks" dxfId="8" priority="9">
      <formula>LEN(TRIM(C31))&gt;0</formula>
    </cfRule>
  </conditionalFormatting>
  <conditionalFormatting sqref="E31">
    <cfRule type="notContainsBlanks" dxfId="7" priority="8">
      <formula>LEN(TRIM(E31))&gt;0</formula>
    </cfRule>
  </conditionalFormatting>
  <conditionalFormatting sqref="F31">
    <cfRule type="notContainsBlanks" dxfId="6" priority="7">
      <formula>LEN(TRIM(F31))&gt;0</formula>
    </cfRule>
  </conditionalFormatting>
  <conditionalFormatting sqref="C29:D29 G29">
    <cfRule type="notContainsBlanks" dxfId="5" priority="6">
      <formula>LEN(TRIM(C29))&gt;0</formula>
    </cfRule>
  </conditionalFormatting>
  <conditionalFormatting sqref="E29">
    <cfRule type="notContainsBlanks" dxfId="4" priority="5">
      <formula>LEN(TRIM(E29))&gt;0</formula>
    </cfRule>
  </conditionalFormatting>
  <conditionalFormatting sqref="F29">
    <cfRule type="notContainsBlanks" dxfId="3" priority="4">
      <formula>LEN(TRIM(F29))&gt;0</formula>
    </cfRule>
  </conditionalFormatting>
  <conditionalFormatting sqref="C27:D27 G27">
    <cfRule type="notContainsBlanks" dxfId="2" priority="3">
      <formula>LEN(TRIM(C27))&gt;0</formula>
    </cfRule>
  </conditionalFormatting>
  <conditionalFormatting sqref="E27">
    <cfRule type="notContainsBlanks" dxfId="1" priority="2">
      <formula>LEN(TRIM(E27))&gt;0</formula>
    </cfRule>
  </conditionalFormatting>
  <conditionalFormatting sqref="F27">
    <cfRule type="notContainsBlanks" dxfId="0" priority="1">
      <formula>LEN(TRIM(F27))&gt;0</formula>
    </cfRule>
  </conditionalFormatting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workbookViewId="0">
      <selection activeCell="O24" sqref="O24"/>
    </sheetView>
  </sheetViews>
  <sheetFormatPr defaultRowHeight="14.25" x14ac:dyDescent="0.2"/>
  <cols>
    <col min="1" max="1" width="12" customWidth="1"/>
    <col min="2" max="2" width="12.25" customWidth="1"/>
    <col min="3" max="3" width="35.75" customWidth="1"/>
    <col min="4" max="4" width="10.75" customWidth="1"/>
    <col min="6" max="6" width="9.5" customWidth="1"/>
    <col min="15" max="15" width="34.875" customWidth="1"/>
  </cols>
  <sheetData>
    <row r="1" spans="1:15" x14ac:dyDescent="0.2">
      <c r="A1" s="217" t="s">
        <v>135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9"/>
    </row>
    <row r="2" spans="1:15" x14ac:dyDescent="0.2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2"/>
    </row>
    <row r="3" spans="1:15" x14ac:dyDescent="0.2">
      <c r="A3" s="220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2"/>
    </row>
    <row r="4" spans="1:15" x14ac:dyDescent="0.2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2"/>
    </row>
    <row r="5" spans="1:15" x14ac:dyDescent="0.2">
      <c r="A5" s="220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2"/>
    </row>
    <row r="6" spans="1:15" x14ac:dyDescent="0.2">
      <c r="A6" s="220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2"/>
    </row>
    <row r="7" spans="1:15" ht="15" thickBot="1" x14ac:dyDescent="0.25">
      <c r="A7" s="223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5"/>
    </row>
    <row r="8" spans="1:15" ht="16.5" thickBot="1" x14ac:dyDescent="0.25">
      <c r="A8" s="226" t="s">
        <v>65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8"/>
    </row>
    <row r="9" spans="1:15" x14ac:dyDescent="0.2">
      <c r="A9" s="23"/>
      <c r="B9" s="229" t="str">
        <f>ORÇAMENTO_R03!D2</f>
        <v>RECONSTRUÇÃO DE TRAVESSIA AÉREA DE UM TRECHO DO COLETOR DE ESGOTO DA SERRINHA - TRECHO DA AVENIDA INTEGRAÇÃO ATÉ O COLETOR DE ESGOTO NA MARGEM ESQUERDA DO CÓRREGO DA ÁGUA QUENTE, BAIRRO CIDADE ARACY</v>
      </c>
      <c r="C9" s="229"/>
      <c r="D9" s="229"/>
      <c r="E9" s="229"/>
      <c r="F9" s="229"/>
      <c r="G9" s="229"/>
      <c r="H9" s="229"/>
      <c r="I9" s="229"/>
      <c r="J9" s="229"/>
      <c r="K9" s="229"/>
      <c r="L9" s="24"/>
    </row>
    <row r="10" spans="1:15" x14ac:dyDescent="0.2">
      <c r="A10" s="23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4"/>
    </row>
    <row r="11" spans="1:15" x14ac:dyDescent="0.2">
      <c r="A11" s="23"/>
      <c r="B11" s="25"/>
      <c r="C11" s="210"/>
      <c r="D11" s="210"/>
      <c r="E11" s="210"/>
      <c r="F11" s="210"/>
      <c r="G11" s="210"/>
      <c r="H11" s="210"/>
      <c r="I11" s="210"/>
      <c r="J11" s="210"/>
      <c r="K11" s="26"/>
      <c r="L11" s="24"/>
    </row>
    <row r="12" spans="1:15" x14ac:dyDescent="0.2">
      <c r="A12" s="23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4"/>
    </row>
    <row r="13" spans="1:15" x14ac:dyDescent="0.2">
      <c r="A13" s="23"/>
      <c r="B13" s="26"/>
      <c r="C13" s="27" t="s">
        <v>66</v>
      </c>
      <c r="D13" s="210"/>
      <c r="E13" s="210"/>
      <c r="F13" s="210"/>
      <c r="G13" s="210"/>
      <c r="H13" s="210"/>
      <c r="I13" s="210"/>
      <c r="J13" s="210"/>
      <c r="K13" s="210"/>
      <c r="L13" s="24"/>
    </row>
    <row r="14" spans="1:15" ht="15" thickBot="1" x14ac:dyDescent="0.25">
      <c r="A14" s="23"/>
      <c r="B14" s="28"/>
      <c r="C14" s="28"/>
      <c r="D14" s="28"/>
      <c r="E14" s="28"/>
      <c r="F14" s="28"/>
      <c r="G14" s="28"/>
      <c r="H14" s="29" t="s">
        <v>67</v>
      </c>
      <c r="I14" s="29" t="s">
        <v>68</v>
      </c>
      <c r="J14" s="29" t="s">
        <v>69</v>
      </c>
      <c r="K14" s="28"/>
      <c r="L14" s="24"/>
      <c r="O14" s="264" t="s">
        <v>258</v>
      </c>
    </row>
    <row r="15" spans="1:15" ht="15" thickBot="1" x14ac:dyDescent="0.25">
      <c r="A15" s="23"/>
      <c r="B15" s="30" t="s">
        <v>70</v>
      </c>
      <c r="C15" s="31" t="s">
        <v>71</v>
      </c>
      <c r="D15" s="32"/>
      <c r="E15" s="263"/>
      <c r="F15" s="34" t="s">
        <v>59</v>
      </c>
      <c r="G15" s="35"/>
      <c r="H15" s="36">
        <v>3.4299999999999997E-2</v>
      </c>
      <c r="I15" s="36">
        <v>4.9299999999999997E-2</v>
      </c>
      <c r="J15" s="36">
        <v>6.7100000000000007E-2</v>
      </c>
      <c r="K15" s="28"/>
      <c r="L15" s="24"/>
    </row>
    <row r="16" spans="1:15" ht="15" thickBot="1" x14ac:dyDescent="0.25">
      <c r="A16" s="23"/>
      <c r="B16" s="26"/>
      <c r="C16" s="216"/>
      <c r="D16" s="216"/>
      <c r="E16" s="26"/>
      <c r="F16" s="210"/>
      <c r="G16" s="210"/>
      <c r="H16" s="210"/>
      <c r="I16" s="210"/>
      <c r="J16" s="210"/>
      <c r="K16" s="210"/>
      <c r="L16" s="24"/>
    </row>
    <row r="17" spans="1:12" ht="15" thickBot="1" x14ac:dyDescent="0.25">
      <c r="A17" s="23"/>
      <c r="B17" s="30" t="s">
        <v>72</v>
      </c>
      <c r="C17" s="31" t="s">
        <v>73</v>
      </c>
      <c r="D17" s="32"/>
      <c r="E17" s="263"/>
      <c r="F17" s="34" t="s">
        <v>59</v>
      </c>
      <c r="G17" s="35"/>
      <c r="H17" s="36">
        <v>9.4000000000000004E-3</v>
      </c>
      <c r="I17" s="36">
        <v>9.9000000000000008E-3</v>
      </c>
      <c r="J17" s="36">
        <v>1.17E-2</v>
      </c>
      <c r="K17" s="28"/>
      <c r="L17" s="24"/>
    </row>
    <row r="18" spans="1:12" ht="15" thickBot="1" x14ac:dyDescent="0.25">
      <c r="A18" s="23"/>
      <c r="B18" s="26"/>
      <c r="C18" s="216"/>
      <c r="D18" s="216"/>
      <c r="E18" s="26"/>
      <c r="F18" s="210"/>
      <c r="G18" s="210"/>
      <c r="H18" s="210"/>
      <c r="I18" s="210"/>
      <c r="J18" s="210"/>
      <c r="K18" s="210"/>
      <c r="L18" s="24"/>
    </row>
    <row r="19" spans="1:12" ht="15" thickBot="1" x14ac:dyDescent="0.25">
      <c r="A19" s="23"/>
      <c r="B19" s="30" t="s">
        <v>74</v>
      </c>
      <c r="C19" s="31" t="s">
        <v>75</v>
      </c>
      <c r="D19" s="32"/>
      <c r="E19" s="263"/>
      <c r="F19" s="34" t="s">
        <v>59</v>
      </c>
      <c r="G19" s="35"/>
      <c r="H19" s="36">
        <v>2.8E-3</v>
      </c>
      <c r="I19" s="36">
        <v>4.8999999999999998E-3</v>
      </c>
      <c r="J19" s="36">
        <v>7.4999999999999997E-3</v>
      </c>
      <c r="K19" s="28"/>
      <c r="L19" s="24"/>
    </row>
    <row r="20" spans="1:12" ht="15" thickBot="1" x14ac:dyDescent="0.25">
      <c r="A20" s="23"/>
      <c r="B20" s="26"/>
      <c r="C20" s="216"/>
      <c r="D20" s="216"/>
      <c r="E20" s="26"/>
      <c r="F20" s="210"/>
      <c r="G20" s="210"/>
      <c r="H20" s="210"/>
      <c r="I20" s="210"/>
      <c r="J20" s="210"/>
      <c r="K20" s="210"/>
      <c r="L20" s="24"/>
    </row>
    <row r="21" spans="1:12" ht="15" thickBot="1" x14ac:dyDescent="0.25">
      <c r="A21" s="23"/>
      <c r="B21" s="30" t="s">
        <v>76</v>
      </c>
      <c r="C21" s="31" t="s">
        <v>77</v>
      </c>
      <c r="D21" s="32"/>
      <c r="E21" s="263"/>
      <c r="F21" s="34" t="s">
        <v>59</v>
      </c>
      <c r="G21" s="35"/>
      <c r="H21" s="36">
        <v>0.01</v>
      </c>
      <c r="I21" s="36">
        <v>1.3899999999999999E-2</v>
      </c>
      <c r="J21" s="36">
        <v>1.7399999999999999E-2</v>
      </c>
      <c r="K21" s="28"/>
      <c r="L21" s="24"/>
    </row>
    <row r="22" spans="1:12" ht="15" thickBot="1" x14ac:dyDescent="0.25">
      <c r="A22" s="23"/>
      <c r="B22" s="26"/>
      <c r="C22" s="216"/>
      <c r="D22" s="216"/>
      <c r="E22" s="26"/>
      <c r="F22" s="210"/>
      <c r="G22" s="210"/>
      <c r="H22" s="210"/>
      <c r="I22" s="210"/>
      <c r="J22" s="210"/>
      <c r="K22" s="210"/>
      <c r="L22" s="24"/>
    </row>
    <row r="23" spans="1:12" x14ac:dyDescent="0.2">
      <c r="A23" s="23"/>
      <c r="B23" s="26"/>
      <c r="C23" s="37" t="s">
        <v>78</v>
      </c>
      <c r="D23" s="38"/>
      <c r="E23" s="39">
        <v>2</v>
      </c>
      <c r="F23" s="40" t="s">
        <v>59</v>
      </c>
      <c r="G23" s="213"/>
      <c r="H23" s="210"/>
      <c r="I23" s="210"/>
      <c r="J23" s="210"/>
      <c r="K23" s="210"/>
      <c r="L23" s="24"/>
    </row>
    <row r="24" spans="1:12" x14ac:dyDescent="0.2">
      <c r="A24" s="23"/>
      <c r="B24" s="30" t="s">
        <v>79</v>
      </c>
      <c r="C24" s="41" t="s">
        <v>80</v>
      </c>
      <c r="D24" s="26"/>
      <c r="E24" s="42">
        <v>0.65</v>
      </c>
      <c r="F24" s="24" t="s">
        <v>59</v>
      </c>
      <c r="G24" s="213"/>
      <c r="H24" s="210"/>
      <c r="I24" s="210"/>
      <c r="J24" s="210"/>
      <c r="K24" s="210"/>
      <c r="L24" s="24"/>
    </row>
    <row r="25" spans="1:12" x14ac:dyDescent="0.2">
      <c r="A25" s="23"/>
      <c r="B25" s="26"/>
      <c r="C25" s="41" t="s">
        <v>81</v>
      </c>
      <c r="D25" s="26"/>
      <c r="E25" s="42">
        <v>3</v>
      </c>
      <c r="F25" s="24" t="s">
        <v>59</v>
      </c>
      <c r="G25" s="213"/>
      <c r="H25" s="210"/>
      <c r="I25" s="210"/>
      <c r="J25" s="210"/>
      <c r="K25" s="210"/>
      <c r="L25" s="24"/>
    </row>
    <row r="26" spans="1:12" ht="15" thickBot="1" x14ac:dyDescent="0.25">
      <c r="A26" s="23"/>
      <c r="B26" s="26"/>
      <c r="C26" s="41" t="s">
        <v>82</v>
      </c>
      <c r="D26" s="26"/>
      <c r="E26" s="42">
        <v>0</v>
      </c>
      <c r="F26" s="24" t="s">
        <v>59</v>
      </c>
      <c r="G26" s="213"/>
      <c r="H26" s="210"/>
      <c r="I26" s="210"/>
      <c r="J26" s="210"/>
      <c r="K26" s="210"/>
      <c r="L26" s="24"/>
    </row>
    <row r="27" spans="1:12" ht="15" thickBot="1" x14ac:dyDescent="0.25">
      <c r="A27" s="23"/>
      <c r="B27" s="26"/>
      <c r="C27" s="43" t="s">
        <v>83</v>
      </c>
      <c r="D27" s="44"/>
      <c r="E27" s="33">
        <f>SUM(E23:E26)</f>
        <v>5.65</v>
      </c>
      <c r="F27" s="34" t="s">
        <v>59</v>
      </c>
      <c r="G27" s="213"/>
      <c r="H27" s="210"/>
      <c r="I27" s="210"/>
      <c r="J27" s="210"/>
      <c r="K27" s="210"/>
      <c r="L27" s="24"/>
    </row>
    <row r="28" spans="1:12" ht="15" thickBot="1" x14ac:dyDescent="0.25">
      <c r="A28" s="23"/>
      <c r="B28" s="26"/>
      <c r="C28" s="216"/>
      <c r="D28" s="216"/>
      <c r="E28" s="26"/>
      <c r="F28" s="210"/>
      <c r="G28" s="210"/>
      <c r="H28" s="210"/>
      <c r="I28" s="210"/>
      <c r="J28" s="210"/>
      <c r="K28" s="210"/>
      <c r="L28" s="24"/>
    </row>
    <row r="29" spans="1:12" ht="15" thickBot="1" x14ac:dyDescent="0.25">
      <c r="A29" s="23"/>
      <c r="B29" s="30" t="s">
        <v>84</v>
      </c>
      <c r="C29" s="31" t="s">
        <v>85</v>
      </c>
      <c r="D29" s="32"/>
      <c r="E29" s="263"/>
      <c r="F29" s="34" t="s">
        <v>59</v>
      </c>
      <c r="G29" s="35"/>
      <c r="H29" s="36">
        <v>6.7400000000000002E-2</v>
      </c>
      <c r="I29" s="36">
        <v>8.0399999999999999E-2</v>
      </c>
      <c r="J29" s="36">
        <v>9.4E-2</v>
      </c>
      <c r="K29" s="28"/>
      <c r="L29" s="24"/>
    </row>
    <row r="30" spans="1:12" x14ac:dyDescent="0.2">
      <c r="A30" s="23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4"/>
    </row>
    <row r="31" spans="1:12" x14ac:dyDescent="0.2">
      <c r="A31" s="23"/>
      <c r="B31" s="210"/>
      <c r="C31" s="210"/>
      <c r="D31" s="26"/>
      <c r="E31" s="210"/>
      <c r="F31" s="210"/>
      <c r="G31" s="210"/>
      <c r="H31" s="210"/>
      <c r="I31" s="210"/>
      <c r="J31" s="210"/>
      <c r="K31" s="210"/>
      <c r="L31" s="24"/>
    </row>
    <row r="32" spans="1:12" ht="15" thickBot="1" x14ac:dyDescent="0.25">
      <c r="A32" s="23"/>
      <c r="B32" s="215" t="s">
        <v>86</v>
      </c>
      <c r="C32" s="215"/>
      <c r="D32" s="210"/>
      <c r="E32" s="210"/>
      <c r="F32" s="210"/>
      <c r="G32" s="210"/>
      <c r="H32" s="210"/>
      <c r="I32" s="210"/>
      <c r="J32" s="210"/>
      <c r="K32" s="210"/>
      <c r="L32" s="24"/>
    </row>
    <row r="33" spans="1:12" x14ac:dyDescent="0.2">
      <c r="A33" s="23"/>
      <c r="B33" s="45"/>
      <c r="C33" s="46"/>
      <c r="D33" s="46"/>
      <c r="E33" s="46"/>
      <c r="F33" s="46"/>
      <c r="G33" s="46"/>
      <c r="H33" s="46"/>
      <c r="I33" s="40"/>
      <c r="J33" s="213"/>
      <c r="K33" s="210"/>
      <c r="L33" s="24"/>
    </row>
    <row r="34" spans="1:12" ht="18.75" x14ac:dyDescent="0.2">
      <c r="A34" s="23"/>
      <c r="B34" s="47" t="s">
        <v>87</v>
      </c>
      <c r="C34" s="48" t="s">
        <v>88</v>
      </c>
      <c r="D34" s="49" t="s">
        <v>89</v>
      </c>
      <c r="E34" s="50">
        <v>1</v>
      </c>
      <c r="F34" s="26"/>
      <c r="G34" s="30" t="s">
        <v>90</v>
      </c>
      <c r="H34" s="50">
        <v>100</v>
      </c>
      <c r="I34" s="24"/>
      <c r="J34" s="213"/>
      <c r="K34" s="210"/>
      <c r="L34" s="24"/>
    </row>
    <row r="35" spans="1:12" x14ac:dyDescent="0.2">
      <c r="A35" s="23"/>
      <c r="B35" s="23"/>
      <c r="C35" s="50" t="s">
        <v>91</v>
      </c>
      <c r="D35" s="26"/>
      <c r="E35" s="210"/>
      <c r="F35" s="210"/>
      <c r="G35" s="210"/>
      <c r="H35" s="210"/>
      <c r="I35" s="24"/>
      <c r="J35" s="213"/>
      <c r="K35" s="210"/>
      <c r="L35" s="24"/>
    </row>
    <row r="36" spans="1:12" ht="15" thickBot="1" x14ac:dyDescent="0.25">
      <c r="A36" s="23"/>
      <c r="B36" s="51"/>
      <c r="C36" s="52"/>
      <c r="D36" s="52"/>
      <c r="E36" s="52"/>
      <c r="F36" s="52"/>
      <c r="G36" s="52"/>
      <c r="H36" s="52"/>
      <c r="I36" s="53"/>
      <c r="J36" s="213"/>
      <c r="K36" s="210"/>
      <c r="L36" s="24"/>
    </row>
    <row r="37" spans="1:12" x14ac:dyDescent="0.2">
      <c r="A37" s="23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4"/>
    </row>
    <row r="38" spans="1:12" x14ac:dyDescent="0.2">
      <c r="A38" s="23"/>
      <c r="B38" s="214" t="s">
        <v>92</v>
      </c>
      <c r="C38" s="214"/>
      <c r="D38" s="210"/>
      <c r="E38" s="210"/>
      <c r="F38" s="210"/>
      <c r="G38" s="210"/>
      <c r="H38" s="210"/>
      <c r="I38" s="210"/>
      <c r="J38" s="210"/>
      <c r="K38" s="210"/>
      <c r="L38" s="24"/>
    </row>
    <row r="39" spans="1:12" x14ac:dyDescent="0.2">
      <c r="A39" s="23"/>
      <c r="B39" s="28"/>
      <c r="C39" s="210"/>
      <c r="D39" s="210"/>
      <c r="E39" s="210"/>
      <c r="F39" s="28"/>
      <c r="G39" s="210"/>
      <c r="H39" s="210"/>
      <c r="I39" s="210"/>
      <c r="J39" s="210"/>
      <c r="K39" s="210"/>
      <c r="L39" s="24"/>
    </row>
    <row r="40" spans="1:12" ht="18.75" x14ac:dyDescent="0.2">
      <c r="A40" s="23"/>
      <c r="B40" s="27" t="s">
        <v>93</v>
      </c>
      <c r="C40" s="54">
        <f>(1+(E15/100)+(E19/100)+(E21/100))*(1+(E17/100))*(1+(E29/100))</f>
        <v>1</v>
      </c>
      <c r="D40" s="49" t="s">
        <v>89</v>
      </c>
      <c r="E40" s="50">
        <v>1</v>
      </c>
      <c r="F40" s="26"/>
      <c r="G40" s="30" t="s">
        <v>90</v>
      </c>
      <c r="H40" s="50">
        <v>100</v>
      </c>
      <c r="I40" s="30" t="s">
        <v>94</v>
      </c>
      <c r="J40" s="55">
        <f>((C40/C41)-E40)*100</f>
        <v>5.988341282458931</v>
      </c>
      <c r="K40" s="27" t="s">
        <v>59</v>
      </c>
      <c r="L40" s="24"/>
    </row>
    <row r="41" spans="1:12" x14ac:dyDescent="0.2">
      <c r="A41" s="23"/>
      <c r="B41" s="26"/>
      <c r="C41" s="50">
        <f>(1-(E27/100))</f>
        <v>0.94350000000000001</v>
      </c>
      <c r="D41" s="26"/>
      <c r="E41" s="210"/>
      <c r="F41" s="210"/>
      <c r="G41" s="210"/>
      <c r="H41" s="210"/>
      <c r="I41" s="210"/>
      <c r="J41" s="210"/>
      <c r="K41" s="210"/>
      <c r="L41" s="24"/>
    </row>
    <row r="42" spans="1:12" x14ac:dyDescent="0.2">
      <c r="A42" s="23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4"/>
    </row>
    <row r="43" spans="1:12" x14ac:dyDescent="0.2">
      <c r="A43" s="23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4"/>
    </row>
    <row r="44" spans="1:12" ht="15.75" x14ac:dyDescent="0.2">
      <c r="A44" s="23"/>
      <c r="B44" s="26"/>
      <c r="C44" s="56" t="s">
        <v>95</v>
      </c>
      <c r="D44" s="26"/>
      <c r="E44" s="57">
        <f>J40</f>
        <v>5.988341282458931</v>
      </c>
      <c r="F44" s="212" t="s">
        <v>59</v>
      </c>
      <c r="G44" s="212"/>
      <c r="H44" s="26"/>
      <c r="I44" s="210"/>
      <c r="J44" s="210"/>
      <c r="K44" s="210"/>
      <c r="L44" s="24"/>
    </row>
    <row r="45" spans="1:12" x14ac:dyDescent="0.2">
      <c r="A45" s="23"/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4"/>
    </row>
    <row r="46" spans="1:12" x14ac:dyDescent="0.2">
      <c r="A46" s="23"/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4"/>
    </row>
    <row r="47" spans="1:12" x14ac:dyDescent="0.2">
      <c r="A47" s="23"/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4"/>
    </row>
    <row r="48" spans="1:12" x14ac:dyDescent="0.2">
      <c r="A48" s="23"/>
      <c r="B48" s="211" t="s">
        <v>96</v>
      </c>
      <c r="C48" s="211"/>
      <c r="D48" s="211"/>
      <c r="E48" s="211"/>
      <c r="F48" s="211"/>
      <c r="G48" s="211"/>
      <c r="H48" s="211"/>
      <c r="I48" s="211"/>
      <c r="J48" s="211"/>
      <c r="K48" s="26"/>
      <c r="L48" s="24"/>
    </row>
    <row r="49" spans="1:12" ht="15" thickBo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3"/>
    </row>
  </sheetData>
  <mergeCells count="45">
    <mergeCell ref="D13:K13"/>
    <mergeCell ref="A1:L7"/>
    <mergeCell ref="A8:L8"/>
    <mergeCell ref="B9:K10"/>
    <mergeCell ref="C11:J11"/>
    <mergeCell ref="B12:K12"/>
    <mergeCell ref="G26:K26"/>
    <mergeCell ref="C16:D16"/>
    <mergeCell ref="F16:K16"/>
    <mergeCell ref="C18:D18"/>
    <mergeCell ref="F18:K18"/>
    <mergeCell ref="C20:D20"/>
    <mergeCell ref="F20:K20"/>
    <mergeCell ref="C22:D22"/>
    <mergeCell ref="F22:K22"/>
    <mergeCell ref="G23:K23"/>
    <mergeCell ref="G24:K24"/>
    <mergeCell ref="G25:K25"/>
    <mergeCell ref="G27:K27"/>
    <mergeCell ref="C28:D28"/>
    <mergeCell ref="F28:K28"/>
    <mergeCell ref="B30:K30"/>
    <mergeCell ref="B31:C31"/>
    <mergeCell ref="E31:K31"/>
    <mergeCell ref="B32:C32"/>
    <mergeCell ref="D32:K32"/>
    <mergeCell ref="J33:K33"/>
    <mergeCell ref="J34:K34"/>
    <mergeCell ref="E35:H35"/>
    <mergeCell ref="J35:K35"/>
    <mergeCell ref="J36:K36"/>
    <mergeCell ref="B37:K37"/>
    <mergeCell ref="B38:C38"/>
    <mergeCell ref="D38:K38"/>
    <mergeCell ref="C39:E39"/>
    <mergeCell ref="G39:K39"/>
    <mergeCell ref="B46:K46"/>
    <mergeCell ref="B47:K47"/>
    <mergeCell ref="B48:J48"/>
    <mergeCell ref="E41:K41"/>
    <mergeCell ref="B42:K42"/>
    <mergeCell ref="B43:K43"/>
    <mergeCell ref="F44:G44"/>
    <mergeCell ref="I44:K44"/>
    <mergeCell ref="B45:K45"/>
  </mergeCells>
  <pageMargins left="1.299212598425197" right="0.51181102362204722" top="0.78740157480314965" bottom="0.78740157480314965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91"/>
  <sheetViews>
    <sheetView showGridLines="0" tabSelected="1" showOutlineSymbols="0" zoomScaleNormal="100" zoomScaleSheetLayoutView="95" workbookViewId="0">
      <pane ySplit="4" topLeftCell="A5" activePane="bottomLeft" state="frozen"/>
      <selection pane="bottomLeft" activeCell="N9" sqref="N9:N10"/>
    </sheetView>
  </sheetViews>
  <sheetFormatPr defaultRowHeight="14.25" x14ac:dyDescent="0.2"/>
  <cols>
    <col min="1" max="2" width="10" style="61" bestFit="1" customWidth="1"/>
    <col min="3" max="3" width="9.25" style="61" customWidth="1"/>
    <col min="4" max="4" width="58.875" style="61" customWidth="1"/>
    <col min="5" max="5" width="8" style="61" bestFit="1" customWidth="1"/>
    <col min="6" max="6" width="11" style="61" customWidth="1"/>
    <col min="7" max="8" width="13" style="61" bestFit="1" customWidth="1"/>
    <col min="9" max="9" width="16.5" style="61" bestFit="1" customWidth="1"/>
    <col min="10" max="10" width="16.75" style="61" bestFit="1" customWidth="1"/>
    <col min="11" max="11" width="14.25" style="61" bestFit="1" customWidth="1"/>
    <col min="12" max="12" width="8.75" style="61" bestFit="1" customWidth="1"/>
    <col min="13" max="13" width="9.375" style="61" customWidth="1"/>
    <col min="14" max="14" width="52" style="61" customWidth="1"/>
    <col min="15" max="15" width="21.5" style="62" customWidth="1"/>
    <col min="16" max="16" width="20.875" style="61" customWidth="1"/>
    <col min="17" max="18" width="9" style="61"/>
    <col min="19" max="19" width="20.25" style="167" customWidth="1"/>
    <col min="20" max="16384" width="9" style="61"/>
  </cols>
  <sheetData>
    <row r="1" spans="1:20" ht="15" customHeight="1" x14ac:dyDescent="0.2">
      <c r="A1" s="1"/>
      <c r="B1" s="89"/>
      <c r="C1" s="89"/>
      <c r="D1" s="59" t="s">
        <v>120</v>
      </c>
      <c r="E1" s="231" t="s">
        <v>0</v>
      </c>
      <c r="F1" s="231"/>
      <c r="G1" s="60"/>
      <c r="H1" s="59" t="s">
        <v>1</v>
      </c>
      <c r="I1" s="231" t="s">
        <v>2</v>
      </c>
      <c r="J1" s="231"/>
      <c r="K1" s="231"/>
      <c r="L1" s="232"/>
      <c r="N1" s="62"/>
    </row>
    <row r="2" spans="1:20" ht="80.099999999999994" customHeight="1" x14ac:dyDescent="0.2">
      <c r="A2" s="175" t="s">
        <v>254</v>
      </c>
      <c r="B2" s="88"/>
      <c r="C2" s="88"/>
      <c r="D2" s="145" t="s">
        <v>124</v>
      </c>
      <c r="E2" s="233" t="s">
        <v>251</v>
      </c>
      <c r="F2" s="233"/>
      <c r="G2" s="233"/>
      <c r="H2" s="146" t="s">
        <v>3</v>
      </c>
      <c r="I2" s="233" t="s">
        <v>4</v>
      </c>
      <c r="J2" s="233"/>
      <c r="K2" s="233"/>
      <c r="L2" s="234"/>
      <c r="N2" s="62"/>
    </row>
    <row r="3" spans="1:20" ht="26.25" customHeight="1" x14ac:dyDescent="0.3">
      <c r="A3" s="235" t="s">
        <v>133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7"/>
      <c r="N3" s="63"/>
    </row>
    <row r="4" spans="1:20" ht="30" customHeight="1" x14ac:dyDescent="0.2">
      <c r="A4" s="64" t="s">
        <v>5</v>
      </c>
      <c r="B4" s="58" t="s">
        <v>6</v>
      </c>
      <c r="C4" s="64" t="s">
        <v>7</v>
      </c>
      <c r="D4" s="64" t="s">
        <v>8</v>
      </c>
      <c r="E4" s="65" t="s">
        <v>9</v>
      </c>
      <c r="F4" s="58" t="s">
        <v>10</v>
      </c>
      <c r="G4" s="58" t="s">
        <v>11</v>
      </c>
      <c r="H4" s="58" t="s">
        <v>12</v>
      </c>
      <c r="I4" s="58" t="s">
        <v>103</v>
      </c>
      <c r="J4" s="58" t="s">
        <v>121</v>
      </c>
      <c r="K4" s="58" t="s">
        <v>13</v>
      </c>
      <c r="L4" s="58" t="s">
        <v>14</v>
      </c>
      <c r="N4" s="147"/>
      <c r="S4" s="168"/>
    </row>
    <row r="5" spans="1:20" ht="30" customHeight="1" x14ac:dyDescent="0.25">
      <c r="A5" s="92">
        <v>1</v>
      </c>
      <c r="B5" s="93"/>
      <c r="C5" s="93"/>
      <c r="D5" s="93" t="s">
        <v>15</v>
      </c>
      <c r="E5" s="93"/>
      <c r="F5" s="94"/>
      <c r="G5" s="93"/>
      <c r="H5" s="93"/>
      <c r="I5" s="95">
        <f>SUM(I6:I13)</f>
        <v>0</v>
      </c>
      <c r="J5" s="95">
        <f>SUM(J6:J13)</f>
        <v>0</v>
      </c>
      <c r="K5" s="96">
        <f>SUM(K6:K13)</f>
        <v>0</v>
      </c>
      <c r="L5" s="97" t="e">
        <f>K5/$K$80</f>
        <v>#DIV/0!</v>
      </c>
      <c r="N5" s="261" t="s">
        <v>257</v>
      </c>
      <c r="S5" s="169"/>
    </row>
    <row r="6" spans="1:20" ht="18.75" customHeight="1" x14ac:dyDescent="0.2">
      <c r="A6" s="98" t="s">
        <v>175</v>
      </c>
      <c r="B6" s="99" t="s">
        <v>169</v>
      </c>
      <c r="C6" s="100" t="s">
        <v>168</v>
      </c>
      <c r="D6" s="100" t="s">
        <v>170</v>
      </c>
      <c r="E6" s="101" t="s">
        <v>171</v>
      </c>
      <c r="F6" s="102">
        <v>5</v>
      </c>
      <c r="G6" s="103"/>
      <c r="H6" s="103">
        <f>ROUND(G6*(1+$H$2),2)</f>
        <v>0</v>
      </c>
      <c r="I6" s="104">
        <f t="shared" ref="I6:I13" si="0">ROUND(K6*$N$81,2)</f>
        <v>0</v>
      </c>
      <c r="J6" s="104">
        <f>K6-I6</f>
        <v>0</v>
      </c>
      <c r="K6" s="103">
        <f t="shared" ref="K6:K13" si="1">ROUND(F6*H6,2)</f>
        <v>0</v>
      </c>
      <c r="L6" s="105"/>
      <c r="N6" s="262" t="s">
        <v>259</v>
      </c>
      <c r="O6" s="259"/>
      <c r="P6" s="259"/>
      <c r="S6" s="170"/>
      <c r="T6" s="158"/>
    </row>
    <row r="7" spans="1:20" ht="25.5" x14ac:dyDescent="0.2">
      <c r="A7" s="98" t="s">
        <v>176</v>
      </c>
      <c r="B7" s="99">
        <v>103689</v>
      </c>
      <c r="C7" s="100" t="s">
        <v>16</v>
      </c>
      <c r="D7" s="100" t="s">
        <v>183</v>
      </c>
      <c r="E7" s="101" t="s">
        <v>17</v>
      </c>
      <c r="F7" s="102">
        <v>26.55</v>
      </c>
      <c r="G7" s="103"/>
      <c r="H7" s="103">
        <f t="shared" ref="H7:H21" si="2">ROUND(G7*(1+$H$2),2)</f>
        <v>0</v>
      </c>
      <c r="I7" s="104">
        <f t="shared" si="0"/>
        <v>0</v>
      </c>
      <c r="J7" s="104">
        <f t="shared" ref="J7:J13" si="3">K7-I7</f>
        <v>0</v>
      </c>
      <c r="K7" s="103">
        <f t="shared" si="1"/>
        <v>0</v>
      </c>
      <c r="L7" s="105"/>
      <c r="N7" s="262"/>
      <c r="O7" s="259"/>
      <c r="P7" s="259"/>
      <c r="S7" s="170"/>
      <c r="T7" s="158"/>
    </row>
    <row r="8" spans="1:20" ht="25.5" x14ac:dyDescent="0.2">
      <c r="A8" s="98" t="s">
        <v>177</v>
      </c>
      <c r="B8" s="99">
        <v>37525</v>
      </c>
      <c r="C8" s="100" t="s">
        <v>16</v>
      </c>
      <c r="D8" s="100" t="s">
        <v>98</v>
      </c>
      <c r="E8" s="101" t="s">
        <v>25</v>
      </c>
      <c r="F8" s="102">
        <v>50</v>
      </c>
      <c r="G8" s="103"/>
      <c r="H8" s="103">
        <f>ROUND(G8*(1+$H$2),2)</f>
        <v>0</v>
      </c>
      <c r="I8" s="104">
        <f t="shared" si="0"/>
        <v>0</v>
      </c>
      <c r="J8" s="104">
        <f t="shared" si="3"/>
        <v>0</v>
      </c>
      <c r="K8" s="103">
        <f t="shared" ref="K8" si="4">ROUND(F8*H8,2)</f>
        <v>0</v>
      </c>
      <c r="L8" s="105"/>
      <c r="N8" s="262"/>
      <c r="O8" s="259"/>
      <c r="P8" s="259"/>
      <c r="S8" s="170"/>
      <c r="T8" s="158"/>
    </row>
    <row r="9" spans="1:20" ht="25.5" x14ac:dyDescent="0.2">
      <c r="A9" s="98" t="s">
        <v>178</v>
      </c>
      <c r="B9" s="137" t="s">
        <v>18</v>
      </c>
      <c r="C9" s="138" t="s">
        <v>16</v>
      </c>
      <c r="D9" s="138" t="s">
        <v>250</v>
      </c>
      <c r="E9" s="139" t="s">
        <v>19</v>
      </c>
      <c r="F9" s="102">
        <v>690.4</v>
      </c>
      <c r="G9" s="140"/>
      <c r="H9" s="103">
        <f t="shared" si="2"/>
        <v>0</v>
      </c>
      <c r="I9" s="104">
        <f t="shared" si="0"/>
        <v>0</v>
      </c>
      <c r="J9" s="104">
        <f t="shared" si="3"/>
        <v>0</v>
      </c>
      <c r="K9" s="140">
        <f t="shared" si="1"/>
        <v>0</v>
      </c>
      <c r="L9" s="141"/>
      <c r="N9" s="262" t="s">
        <v>256</v>
      </c>
      <c r="O9" s="259"/>
      <c r="P9" s="259"/>
      <c r="S9" s="170"/>
      <c r="T9" s="158"/>
    </row>
    <row r="10" spans="1:20" s="148" customFormat="1" ht="25.5" x14ac:dyDescent="0.2">
      <c r="A10" s="98" t="s">
        <v>179</v>
      </c>
      <c r="B10" s="99" t="s">
        <v>184</v>
      </c>
      <c r="C10" s="100" t="s">
        <v>168</v>
      </c>
      <c r="D10" s="100" t="s">
        <v>185</v>
      </c>
      <c r="E10" s="101" t="s">
        <v>19</v>
      </c>
      <c r="F10" s="102">
        <v>174</v>
      </c>
      <c r="G10" s="103"/>
      <c r="H10" s="103">
        <f t="shared" si="2"/>
        <v>0</v>
      </c>
      <c r="I10" s="104">
        <f t="shared" si="0"/>
        <v>0</v>
      </c>
      <c r="J10" s="104">
        <f t="shared" si="3"/>
        <v>0</v>
      </c>
      <c r="K10" s="103">
        <f t="shared" si="1"/>
        <v>0</v>
      </c>
      <c r="L10" s="105"/>
      <c r="N10" s="262"/>
      <c r="O10" s="259"/>
      <c r="P10" s="259"/>
      <c r="S10" s="170"/>
      <c r="T10" s="158"/>
    </row>
    <row r="11" spans="1:20" ht="25.5" x14ac:dyDescent="0.2">
      <c r="A11" s="98" t="s">
        <v>180</v>
      </c>
      <c r="B11" s="99" t="s">
        <v>20</v>
      </c>
      <c r="C11" s="100" t="s">
        <v>16</v>
      </c>
      <c r="D11" s="100" t="s">
        <v>127</v>
      </c>
      <c r="E11" s="101" t="s">
        <v>17</v>
      </c>
      <c r="F11" s="102">
        <v>481.7</v>
      </c>
      <c r="G11" s="103"/>
      <c r="H11" s="103">
        <f t="shared" si="2"/>
        <v>0</v>
      </c>
      <c r="I11" s="104">
        <f t="shared" si="0"/>
        <v>0</v>
      </c>
      <c r="J11" s="104">
        <f t="shared" si="3"/>
        <v>0</v>
      </c>
      <c r="K11" s="103">
        <f t="shared" si="1"/>
        <v>0</v>
      </c>
      <c r="L11" s="105"/>
      <c r="O11" s="259"/>
      <c r="P11" s="259"/>
      <c r="S11" s="170"/>
      <c r="T11" s="158"/>
    </row>
    <row r="12" spans="1:20" ht="38.25" x14ac:dyDescent="0.2">
      <c r="A12" s="98" t="s">
        <v>181</v>
      </c>
      <c r="B12" s="99" t="s">
        <v>21</v>
      </c>
      <c r="C12" s="100" t="s">
        <v>16</v>
      </c>
      <c r="D12" s="100" t="s">
        <v>136</v>
      </c>
      <c r="E12" s="101" t="s">
        <v>19</v>
      </c>
      <c r="F12" s="102">
        <v>96.34</v>
      </c>
      <c r="G12" s="103"/>
      <c r="H12" s="103">
        <f t="shared" si="2"/>
        <v>0</v>
      </c>
      <c r="I12" s="104">
        <f t="shared" si="0"/>
        <v>0</v>
      </c>
      <c r="J12" s="104">
        <f t="shared" si="3"/>
        <v>0</v>
      </c>
      <c r="K12" s="103">
        <f t="shared" si="1"/>
        <v>0</v>
      </c>
      <c r="L12" s="105"/>
      <c r="N12" s="260"/>
      <c r="O12" s="259"/>
      <c r="P12" s="259"/>
      <c r="S12" s="170"/>
      <c r="T12" s="158"/>
    </row>
    <row r="13" spans="1:20" ht="38.25" x14ac:dyDescent="0.2">
      <c r="A13" s="98" t="s">
        <v>182</v>
      </c>
      <c r="B13" s="99" t="s">
        <v>22</v>
      </c>
      <c r="C13" s="100" t="s">
        <v>16</v>
      </c>
      <c r="D13" s="100" t="s">
        <v>137</v>
      </c>
      <c r="E13" s="101" t="s">
        <v>23</v>
      </c>
      <c r="F13" s="102">
        <v>963.4</v>
      </c>
      <c r="G13" s="103"/>
      <c r="H13" s="103">
        <f t="shared" si="2"/>
        <v>0</v>
      </c>
      <c r="I13" s="104">
        <f t="shared" si="0"/>
        <v>0</v>
      </c>
      <c r="J13" s="104">
        <f t="shared" si="3"/>
        <v>0</v>
      </c>
      <c r="K13" s="103">
        <f t="shared" si="1"/>
        <v>0</v>
      </c>
      <c r="L13" s="105"/>
      <c r="N13" s="258"/>
      <c r="O13" s="259"/>
      <c r="P13" s="259"/>
      <c r="S13" s="170"/>
      <c r="T13" s="158"/>
    </row>
    <row r="14" spans="1:20" ht="30" customHeight="1" x14ac:dyDescent="0.2">
      <c r="A14" s="106">
        <v>2</v>
      </c>
      <c r="B14" s="107"/>
      <c r="C14" s="107"/>
      <c r="D14" s="107" t="s">
        <v>24</v>
      </c>
      <c r="E14" s="107"/>
      <c r="F14" s="108"/>
      <c r="G14" s="107"/>
      <c r="H14" s="107"/>
      <c r="I14" s="109">
        <f>SUM(I15:I21)</f>
        <v>0</v>
      </c>
      <c r="J14" s="109">
        <f>SUM(J15:J21)</f>
        <v>0</v>
      </c>
      <c r="K14" s="110">
        <f>SUM(K15:K21)</f>
        <v>0</v>
      </c>
      <c r="L14" s="111" t="e">
        <f>K14/$K$80</f>
        <v>#DIV/0!</v>
      </c>
      <c r="N14" s="259"/>
      <c r="O14" s="259"/>
      <c r="P14" s="259"/>
      <c r="S14" s="171"/>
      <c r="T14" s="158"/>
    </row>
    <row r="15" spans="1:20" x14ac:dyDescent="0.2">
      <c r="A15" s="129"/>
      <c r="B15" s="130"/>
      <c r="C15" s="131"/>
      <c r="D15" s="142" t="s">
        <v>150</v>
      </c>
      <c r="E15" s="132"/>
      <c r="F15" s="133"/>
      <c r="G15" s="134"/>
      <c r="H15" s="134"/>
      <c r="I15" s="135"/>
      <c r="J15" s="135"/>
      <c r="K15" s="134"/>
      <c r="L15" s="136"/>
      <c r="N15" s="259"/>
      <c r="O15" s="259"/>
      <c r="P15" s="259"/>
      <c r="S15" s="170"/>
      <c r="T15" s="158"/>
    </row>
    <row r="16" spans="1:20" s="148" customFormat="1" ht="25.5" x14ac:dyDescent="0.2">
      <c r="A16" s="98" t="s">
        <v>172</v>
      </c>
      <c r="B16" s="99">
        <v>74010038</v>
      </c>
      <c r="C16" s="100" t="s">
        <v>97</v>
      </c>
      <c r="D16" s="100" t="s">
        <v>149</v>
      </c>
      <c r="E16" s="101" t="s">
        <v>147</v>
      </c>
      <c r="F16" s="102">
        <v>1</v>
      </c>
      <c r="G16" s="103"/>
      <c r="H16" s="103">
        <f t="shared" si="2"/>
        <v>0</v>
      </c>
      <c r="I16" s="104">
        <f>ROUND(K16*$N$81,2)</f>
        <v>0</v>
      </c>
      <c r="J16" s="104">
        <f t="shared" ref="J16:J18" si="5">K16-I16</f>
        <v>0</v>
      </c>
      <c r="K16" s="103">
        <f t="shared" ref="K16" si="6">ROUND(F16*H16,2)</f>
        <v>0</v>
      </c>
      <c r="L16" s="105"/>
      <c r="N16" s="259"/>
      <c r="O16" s="259"/>
      <c r="P16" s="259"/>
      <c r="S16" s="170"/>
      <c r="T16" s="158"/>
    </row>
    <row r="17" spans="1:20" x14ac:dyDescent="0.2">
      <c r="A17" s="98" t="s">
        <v>174</v>
      </c>
      <c r="B17" s="99" t="s">
        <v>26</v>
      </c>
      <c r="C17" s="100" t="s">
        <v>27</v>
      </c>
      <c r="D17" s="100" t="s">
        <v>138</v>
      </c>
      <c r="E17" s="101" t="s">
        <v>17</v>
      </c>
      <c r="F17" s="102">
        <v>4.5</v>
      </c>
      <c r="G17" s="103"/>
      <c r="H17" s="103">
        <f t="shared" si="2"/>
        <v>0</v>
      </c>
      <c r="I17" s="104">
        <f>ROUND(K17*$N$81,2)</f>
        <v>0</v>
      </c>
      <c r="J17" s="104">
        <f t="shared" si="5"/>
        <v>0</v>
      </c>
      <c r="K17" s="103">
        <f>ROUND(F17*H17,2)</f>
        <v>0</v>
      </c>
      <c r="L17" s="105"/>
      <c r="N17" s="259"/>
      <c r="O17" s="259"/>
      <c r="P17" s="259"/>
      <c r="S17" s="170"/>
      <c r="T17" s="158"/>
    </row>
    <row r="18" spans="1:20" s="62" customFormat="1" x14ac:dyDescent="0.2">
      <c r="A18" s="98" t="s">
        <v>186</v>
      </c>
      <c r="B18" s="99" t="s">
        <v>28</v>
      </c>
      <c r="C18" s="100" t="s">
        <v>27</v>
      </c>
      <c r="D18" s="100" t="s">
        <v>139</v>
      </c>
      <c r="E18" s="101" t="s">
        <v>17</v>
      </c>
      <c r="F18" s="102">
        <v>64</v>
      </c>
      <c r="G18" s="103"/>
      <c r="H18" s="103">
        <f t="shared" si="2"/>
        <v>0</v>
      </c>
      <c r="I18" s="104">
        <f>ROUND(K18*$N$81,2)</f>
        <v>0</v>
      </c>
      <c r="J18" s="104">
        <f t="shared" si="5"/>
        <v>0</v>
      </c>
      <c r="K18" s="103">
        <f>ROUND(F18*H18,2)</f>
        <v>0</v>
      </c>
      <c r="L18" s="105"/>
      <c r="M18" s="61"/>
      <c r="N18" s="259"/>
      <c r="O18" s="259"/>
      <c r="P18" s="259"/>
      <c r="S18" s="170"/>
      <c r="T18" s="158"/>
    </row>
    <row r="19" spans="1:20" x14ac:dyDescent="0.2">
      <c r="A19" s="129"/>
      <c r="B19" s="130"/>
      <c r="C19" s="131"/>
      <c r="D19" s="142" t="s">
        <v>148</v>
      </c>
      <c r="E19" s="132"/>
      <c r="F19" s="133"/>
      <c r="G19" s="134"/>
      <c r="H19" s="134"/>
      <c r="I19" s="135"/>
      <c r="J19" s="135"/>
      <c r="K19" s="134"/>
      <c r="L19" s="136"/>
      <c r="N19" s="259"/>
      <c r="O19" s="259"/>
      <c r="P19" s="259"/>
      <c r="S19" s="170"/>
      <c r="T19" s="158"/>
    </row>
    <row r="20" spans="1:20" x14ac:dyDescent="0.2">
      <c r="A20" s="98" t="s">
        <v>188</v>
      </c>
      <c r="B20" s="99" t="s">
        <v>29</v>
      </c>
      <c r="C20" s="100" t="s">
        <v>168</v>
      </c>
      <c r="D20" s="100" t="s">
        <v>140</v>
      </c>
      <c r="E20" s="101" t="s">
        <v>30</v>
      </c>
      <c r="F20" s="102">
        <v>1</v>
      </c>
      <c r="G20" s="103"/>
      <c r="H20" s="103">
        <f t="shared" si="2"/>
        <v>0</v>
      </c>
      <c r="I20" s="104">
        <f>ROUND(K20*$N$81,2)</f>
        <v>0</v>
      </c>
      <c r="J20" s="104">
        <f>K20-I20</f>
        <v>0</v>
      </c>
      <c r="K20" s="103">
        <f>ROUND(F20*H20,2)</f>
        <v>0</v>
      </c>
      <c r="L20" s="105"/>
      <c r="N20" s="259"/>
      <c r="O20" s="259"/>
      <c r="P20" s="259"/>
      <c r="S20" s="170"/>
      <c r="T20" s="158"/>
    </row>
    <row r="21" spans="1:20" s="148" customFormat="1" x14ac:dyDescent="0.2">
      <c r="A21" s="98" t="s">
        <v>187</v>
      </c>
      <c r="B21" s="99" t="s">
        <v>144</v>
      </c>
      <c r="C21" s="100" t="s">
        <v>168</v>
      </c>
      <c r="D21" s="100" t="s">
        <v>146</v>
      </c>
      <c r="E21" s="101" t="s">
        <v>30</v>
      </c>
      <c r="F21" s="102">
        <v>1</v>
      </c>
      <c r="G21" s="103"/>
      <c r="H21" s="103">
        <f t="shared" si="2"/>
        <v>0</v>
      </c>
      <c r="I21" s="104">
        <f>ROUND(K21*$N$81,2)</f>
        <v>0</v>
      </c>
      <c r="J21" s="104">
        <f>K21-I21</f>
        <v>0</v>
      </c>
      <c r="K21" s="103">
        <f>ROUND(F21*H21,2)</f>
        <v>0</v>
      </c>
      <c r="L21" s="105"/>
      <c r="N21" s="128"/>
      <c r="O21" s="176"/>
      <c r="S21" s="170"/>
      <c r="T21" s="158"/>
    </row>
    <row r="22" spans="1:20" ht="30" customHeight="1" x14ac:dyDescent="0.2">
      <c r="A22" s="106">
        <v>3</v>
      </c>
      <c r="B22" s="107"/>
      <c r="C22" s="107"/>
      <c r="D22" s="107" t="s">
        <v>173</v>
      </c>
      <c r="E22" s="107"/>
      <c r="F22" s="108"/>
      <c r="G22" s="107"/>
      <c r="H22" s="107"/>
      <c r="I22" s="109">
        <f>SUM(I23:I23)</f>
        <v>0</v>
      </c>
      <c r="J22" s="109">
        <f>SUM(J23:J23)</f>
        <v>0</v>
      </c>
      <c r="K22" s="110">
        <f>SUM(K23:K23)</f>
        <v>0</v>
      </c>
      <c r="L22" s="111" t="e">
        <f>K22/$K$80</f>
        <v>#DIV/0!</v>
      </c>
      <c r="N22" s="128"/>
      <c r="O22" s="176"/>
      <c r="S22" s="171"/>
      <c r="T22" s="158"/>
    </row>
    <row r="23" spans="1:20" x14ac:dyDescent="0.2">
      <c r="A23" s="98" t="s">
        <v>102</v>
      </c>
      <c r="B23" s="149">
        <v>101460</v>
      </c>
      <c r="C23" s="100" t="s">
        <v>16</v>
      </c>
      <c r="D23" s="100" t="s">
        <v>190</v>
      </c>
      <c r="E23" s="101" t="s">
        <v>189</v>
      </c>
      <c r="F23" s="102">
        <v>5</v>
      </c>
      <c r="G23" s="103"/>
      <c r="H23" s="103">
        <f>ROUND(G23*(1+$H$2),2)</f>
        <v>0</v>
      </c>
      <c r="I23" s="104">
        <f>ROUND(K23*$N$81,2)</f>
        <v>0</v>
      </c>
      <c r="J23" s="104">
        <f>K23-I23</f>
        <v>0</v>
      </c>
      <c r="K23" s="103">
        <f t="shared" ref="K23" si="7">ROUND(F23*H23,2)</f>
        <v>0</v>
      </c>
      <c r="L23" s="105"/>
      <c r="N23" s="128"/>
      <c r="O23" s="176"/>
      <c r="S23" s="170"/>
      <c r="T23" s="158"/>
    </row>
    <row r="24" spans="1:20" ht="30" customHeight="1" x14ac:dyDescent="0.2">
      <c r="A24" s="106">
        <v>4</v>
      </c>
      <c r="B24" s="107"/>
      <c r="C24" s="107"/>
      <c r="D24" s="107" t="s">
        <v>36</v>
      </c>
      <c r="E24" s="107"/>
      <c r="F24" s="108"/>
      <c r="G24" s="107"/>
      <c r="H24" s="107"/>
      <c r="I24" s="109">
        <f>SUM(I25:I27)</f>
        <v>0</v>
      </c>
      <c r="J24" s="109">
        <f>SUM(J25:J27)</f>
        <v>0</v>
      </c>
      <c r="K24" s="110">
        <f>SUM(K25:K27)</f>
        <v>0</v>
      </c>
      <c r="L24" s="111" t="e">
        <f>K24/$K$80</f>
        <v>#DIV/0!</v>
      </c>
      <c r="N24" s="128"/>
      <c r="O24" s="176"/>
      <c r="S24" s="171"/>
      <c r="T24" s="158"/>
    </row>
    <row r="25" spans="1:20" ht="38.25" x14ac:dyDescent="0.2">
      <c r="A25" s="98" t="s">
        <v>191</v>
      </c>
      <c r="B25" s="99" t="s">
        <v>37</v>
      </c>
      <c r="C25" s="100" t="s">
        <v>16</v>
      </c>
      <c r="D25" s="100" t="s">
        <v>38</v>
      </c>
      <c r="E25" s="101" t="s">
        <v>19</v>
      </c>
      <c r="F25" s="102">
        <v>160</v>
      </c>
      <c r="G25" s="103"/>
      <c r="H25" s="103">
        <f>ROUND(G25+G25*$H$2,2)</f>
        <v>0</v>
      </c>
      <c r="I25" s="104">
        <f>ROUND(K25*$N$81,2)</f>
        <v>0</v>
      </c>
      <c r="J25" s="104">
        <f t="shared" ref="J25:J27" si="8">K25-I25</f>
        <v>0</v>
      </c>
      <c r="K25" s="103">
        <f>ROUND(F25*H25,2)</f>
        <v>0</v>
      </c>
      <c r="L25" s="105"/>
      <c r="N25" s="128"/>
      <c r="O25" s="176"/>
      <c r="S25" s="170"/>
      <c r="T25" s="158"/>
    </row>
    <row r="26" spans="1:20" s="148" customFormat="1" ht="38.25" x14ac:dyDescent="0.2">
      <c r="A26" s="98" t="s">
        <v>192</v>
      </c>
      <c r="B26" s="149">
        <v>100983</v>
      </c>
      <c r="C26" s="100" t="s">
        <v>16</v>
      </c>
      <c r="D26" s="100" t="s">
        <v>167</v>
      </c>
      <c r="E26" s="101" t="s">
        <v>118</v>
      </c>
      <c r="F26" s="102">
        <v>200</v>
      </c>
      <c r="G26" s="103"/>
      <c r="H26" s="103">
        <f t="shared" ref="H26" si="9">ROUND(G26+G26*$H$2,2)</f>
        <v>0</v>
      </c>
      <c r="I26" s="104">
        <f>ROUND(K26*$N$81,2)</f>
        <v>0</v>
      </c>
      <c r="J26" s="104">
        <f t="shared" si="8"/>
        <v>0</v>
      </c>
      <c r="K26" s="103">
        <f t="shared" ref="K26" si="10">ROUND(F26*H26,2)</f>
        <v>0</v>
      </c>
      <c r="L26" s="105"/>
      <c r="N26" s="128"/>
      <c r="O26" s="176"/>
      <c r="S26" s="170"/>
      <c r="T26" s="158"/>
    </row>
    <row r="27" spans="1:20" s="148" customFormat="1" ht="25.5" x14ac:dyDescent="0.2">
      <c r="A27" s="98" t="s">
        <v>193</v>
      </c>
      <c r="B27" s="149">
        <v>95876</v>
      </c>
      <c r="C27" s="100" t="s">
        <v>16</v>
      </c>
      <c r="D27" s="100" t="s">
        <v>165</v>
      </c>
      <c r="E27" s="101" t="s">
        <v>166</v>
      </c>
      <c r="F27" s="102">
        <v>6000</v>
      </c>
      <c r="G27" s="103"/>
      <c r="H27" s="103">
        <f t="shared" ref="H27" si="11">ROUND(G27+G27*$H$2,2)</f>
        <v>0</v>
      </c>
      <c r="I27" s="104">
        <f>ROUND(K27*$N$81,2)</f>
        <v>0</v>
      </c>
      <c r="J27" s="104">
        <f t="shared" si="8"/>
        <v>0</v>
      </c>
      <c r="K27" s="103">
        <f t="shared" ref="K27" si="12">ROUND(F27*H27,2)</f>
        <v>0</v>
      </c>
      <c r="L27" s="105"/>
      <c r="N27" s="128"/>
      <c r="O27" s="176"/>
      <c r="S27" s="170"/>
      <c r="T27" s="158"/>
    </row>
    <row r="28" spans="1:20" ht="30" customHeight="1" x14ac:dyDescent="0.2">
      <c r="A28" s="106">
        <v>5</v>
      </c>
      <c r="B28" s="107"/>
      <c r="C28" s="107"/>
      <c r="D28" s="107" t="s">
        <v>194</v>
      </c>
      <c r="E28" s="107"/>
      <c r="F28" s="108"/>
      <c r="G28" s="107"/>
      <c r="H28" s="107"/>
      <c r="I28" s="109">
        <f>SUM(I29:I42)</f>
        <v>0</v>
      </c>
      <c r="J28" s="109">
        <f>SUM(J29:J42)</f>
        <v>0</v>
      </c>
      <c r="K28" s="110">
        <f>SUM(K29:K42)</f>
        <v>0</v>
      </c>
      <c r="L28" s="111" t="e">
        <f>K28/$K$80</f>
        <v>#DIV/0!</v>
      </c>
      <c r="N28" s="128"/>
      <c r="O28" s="176"/>
      <c r="S28" s="171"/>
      <c r="T28" s="158"/>
    </row>
    <row r="29" spans="1:20" x14ac:dyDescent="0.2">
      <c r="A29" s="129"/>
      <c r="B29" s="130"/>
      <c r="C29" s="131"/>
      <c r="D29" s="142" t="s">
        <v>104</v>
      </c>
      <c r="E29" s="132"/>
      <c r="F29" s="133"/>
      <c r="G29" s="134"/>
      <c r="H29" s="134"/>
      <c r="I29" s="135"/>
      <c r="J29" s="135"/>
      <c r="K29" s="134"/>
      <c r="L29" s="136"/>
      <c r="N29" s="128"/>
      <c r="O29" s="176"/>
      <c r="S29" s="170"/>
      <c r="T29" s="158"/>
    </row>
    <row r="30" spans="1:20" ht="25.5" x14ac:dyDescent="0.2">
      <c r="A30" s="98" t="s">
        <v>195</v>
      </c>
      <c r="B30" s="99">
        <v>96521</v>
      </c>
      <c r="C30" s="100" t="s">
        <v>16</v>
      </c>
      <c r="D30" s="100" t="s">
        <v>197</v>
      </c>
      <c r="E30" s="101" t="s">
        <v>118</v>
      </c>
      <c r="F30" s="112">
        <v>6.5</v>
      </c>
      <c r="G30" s="103"/>
      <c r="H30" s="103">
        <f t="shared" ref="H30:H31" si="13">ROUND(G30+G30*$H$2,2)</f>
        <v>0</v>
      </c>
      <c r="I30" s="104">
        <f>ROUND(K30*$N$81,2)</f>
        <v>0</v>
      </c>
      <c r="J30" s="104">
        <f t="shared" ref="J30:J31" si="14">K30-I30</f>
        <v>0</v>
      </c>
      <c r="K30" s="103">
        <f t="shared" ref="K30:K31" si="15">ROUND(F30*H30,2)</f>
        <v>0</v>
      </c>
      <c r="L30" s="105"/>
      <c r="N30" s="128"/>
      <c r="O30" s="176"/>
      <c r="S30" s="172"/>
      <c r="T30" s="158"/>
    </row>
    <row r="31" spans="1:20" x14ac:dyDescent="0.2">
      <c r="A31" s="98" t="s">
        <v>196</v>
      </c>
      <c r="B31" s="99" t="s">
        <v>199</v>
      </c>
      <c r="C31" s="100" t="s">
        <v>168</v>
      </c>
      <c r="D31" s="100" t="s">
        <v>198</v>
      </c>
      <c r="E31" s="101" t="s">
        <v>118</v>
      </c>
      <c r="F31" s="112">
        <v>3.8</v>
      </c>
      <c r="G31" s="103"/>
      <c r="H31" s="103">
        <f t="shared" si="13"/>
        <v>0</v>
      </c>
      <c r="I31" s="104">
        <f>ROUND(K31*$N$81,2)</f>
        <v>0</v>
      </c>
      <c r="J31" s="104">
        <f t="shared" si="14"/>
        <v>0</v>
      </c>
      <c r="K31" s="103">
        <f t="shared" si="15"/>
        <v>0</v>
      </c>
      <c r="L31" s="105"/>
      <c r="N31" s="128"/>
      <c r="O31" s="176"/>
      <c r="S31" s="172"/>
      <c r="T31" s="158"/>
    </row>
    <row r="32" spans="1:20" x14ac:dyDescent="0.2">
      <c r="A32" s="143"/>
      <c r="B32" s="130"/>
      <c r="C32" s="131"/>
      <c r="D32" s="142" t="s">
        <v>145</v>
      </c>
      <c r="E32" s="132"/>
      <c r="F32" s="133"/>
      <c r="G32" s="134"/>
      <c r="H32" s="134"/>
      <c r="I32" s="135"/>
      <c r="J32" s="135"/>
      <c r="K32" s="134"/>
      <c r="L32" s="136"/>
      <c r="N32" s="128"/>
      <c r="O32" s="176"/>
      <c r="S32" s="170"/>
      <c r="T32" s="158"/>
    </row>
    <row r="33" spans="1:20" s="148" customFormat="1" ht="25.5" x14ac:dyDescent="0.2">
      <c r="A33" s="98" t="s">
        <v>200</v>
      </c>
      <c r="B33" s="99" t="s">
        <v>152</v>
      </c>
      <c r="C33" s="100" t="s">
        <v>168</v>
      </c>
      <c r="D33" s="100" t="s">
        <v>151</v>
      </c>
      <c r="E33" s="101" t="s">
        <v>153</v>
      </c>
      <c r="F33" s="102">
        <v>1</v>
      </c>
      <c r="G33" s="103"/>
      <c r="H33" s="103">
        <f>ROUND(G33+G33*$H$2,2)</f>
        <v>0</v>
      </c>
      <c r="I33" s="104">
        <f>ROUND(K33*$N$81,2)</f>
        <v>0</v>
      </c>
      <c r="J33" s="104">
        <f t="shared" ref="J33:J35" si="16">K33-I33</f>
        <v>0</v>
      </c>
      <c r="K33" s="103">
        <f>ROUND(F33*H33,2)</f>
        <v>0</v>
      </c>
      <c r="L33" s="105"/>
      <c r="N33" s="128"/>
      <c r="O33" s="176"/>
      <c r="S33" s="170"/>
      <c r="T33" s="158"/>
    </row>
    <row r="34" spans="1:20" s="148" customFormat="1" x14ac:dyDescent="0.2">
      <c r="A34" s="98" t="s">
        <v>201</v>
      </c>
      <c r="B34" s="99" t="s">
        <v>155</v>
      </c>
      <c r="C34" s="100" t="s">
        <v>168</v>
      </c>
      <c r="D34" s="100" t="s">
        <v>154</v>
      </c>
      <c r="E34" s="101" t="s">
        <v>41</v>
      </c>
      <c r="F34" s="102">
        <v>48</v>
      </c>
      <c r="G34" s="103"/>
      <c r="H34" s="103">
        <f>ROUND(G34+G34*$H$2,2)</f>
        <v>0</v>
      </c>
      <c r="I34" s="104">
        <f>ROUND(K34*$N$81,2)</f>
        <v>0</v>
      </c>
      <c r="J34" s="104">
        <f t="shared" si="16"/>
        <v>0</v>
      </c>
      <c r="K34" s="103">
        <f>ROUND(F34*H34,2)</f>
        <v>0</v>
      </c>
      <c r="L34" s="105"/>
      <c r="N34" s="128"/>
      <c r="O34" s="176"/>
      <c r="S34" s="170"/>
      <c r="T34" s="158"/>
    </row>
    <row r="35" spans="1:20" s="148" customFormat="1" x14ac:dyDescent="0.2">
      <c r="A35" s="98" t="s">
        <v>202</v>
      </c>
      <c r="B35" s="149" t="s">
        <v>157</v>
      </c>
      <c r="C35" s="100" t="s">
        <v>27</v>
      </c>
      <c r="D35" s="100" t="s">
        <v>156</v>
      </c>
      <c r="E35" s="101" t="s">
        <v>101</v>
      </c>
      <c r="F35" s="102">
        <v>8</v>
      </c>
      <c r="G35" s="103"/>
      <c r="H35" s="103">
        <f t="shared" ref="H35" si="17">ROUND(G35+G35*$H$2,2)</f>
        <v>0</v>
      </c>
      <c r="I35" s="104">
        <f>ROUND(K35*$N$81,2)</f>
        <v>0</v>
      </c>
      <c r="J35" s="104">
        <f t="shared" si="16"/>
        <v>0</v>
      </c>
      <c r="K35" s="103">
        <f t="shared" ref="K35" si="18">ROUND(F35*H35,2)</f>
        <v>0</v>
      </c>
      <c r="L35" s="105"/>
      <c r="N35" s="128"/>
      <c r="O35" s="176"/>
      <c r="S35" s="170"/>
      <c r="T35" s="158"/>
    </row>
    <row r="36" spans="1:20" ht="15" x14ac:dyDescent="0.25">
      <c r="A36" s="129"/>
      <c r="B36" s="144"/>
      <c r="C36" s="144"/>
      <c r="D36" s="142" t="s">
        <v>105</v>
      </c>
      <c r="E36" s="144"/>
      <c r="F36" s="144"/>
      <c r="G36" s="144"/>
      <c r="H36" s="144"/>
      <c r="I36" s="144"/>
      <c r="J36" s="135"/>
      <c r="K36" s="144"/>
      <c r="L36" s="136"/>
      <c r="N36" s="128"/>
      <c r="O36" s="176"/>
      <c r="S36" s="173"/>
      <c r="T36" s="158"/>
    </row>
    <row r="37" spans="1:20" ht="38.25" x14ac:dyDescent="0.2">
      <c r="A37" s="98" t="s">
        <v>205</v>
      </c>
      <c r="B37" s="99" t="s">
        <v>31</v>
      </c>
      <c r="C37" s="100" t="s">
        <v>16</v>
      </c>
      <c r="D37" s="100" t="s">
        <v>32</v>
      </c>
      <c r="E37" s="101" t="s">
        <v>17</v>
      </c>
      <c r="F37" s="102">
        <v>6.6</v>
      </c>
      <c r="G37" s="103"/>
      <c r="H37" s="103">
        <f t="shared" ref="H37:H42" si="19">ROUND(G37+G37*$H$2,2)</f>
        <v>0</v>
      </c>
      <c r="I37" s="104">
        <f t="shared" ref="I37:I42" si="20">ROUND(K37*$N$81,2)</f>
        <v>0</v>
      </c>
      <c r="J37" s="104">
        <f t="shared" ref="J37:J42" si="21">K37-I37</f>
        <v>0</v>
      </c>
      <c r="K37" s="103">
        <f t="shared" ref="K37:K42" si="22">ROUND(F37*H37,2)</f>
        <v>0</v>
      </c>
      <c r="L37" s="105"/>
      <c r="N37" s="128"/>
      <c r="O37" s="176"/>
      <c r="S37" s="170"/>
      <c r="T37" s="158"/>
    </row>
    <row r="38" spans="1:20" s="148" customFormat="1" ht="25.5" x14ac:dyDescent="0.2">
      <c r="A38" s="98" t="s">
        <v>206</v>
      </c>
      <c r="B38" s="149">
        <v>96619</v>
      </c>
      <c r="C38" s="100" t="s">
        <v>16</v>
      </c>
      <c r="D38" s="100" t="s">
        <v>159</v>
      </c>
      <c r="E38" s="101" t="s">
        <v>158</v>
      </c>
      <c r="F38" s="102">
        <v>4.5</v>
      </c>
      <c r="G38" s="103"/>
      <c r="H38" s="103">
        <f t="shared" si="19"/>
        <v>0</v>
      </c>
      <c r="I38" s="104">
        <f t="shared" si="20"/>
        <v>0</v>
      </c>
      <c r="J38" s="104">
        <f t="shared" si="21"/>
        <v>0</v>
      </c>
      <c r="K38" s="103">
        <f t="shared" si="22"/>
        <v>0</v>
      </c>
      <c r="L38" s="105"/>
      <c r="N38" s="128"/>
      <c r="O38" s="176"/>
      <c r="S38" s="170"/>
      <c r="T38" s="158"/>
    </row>
    <row r="39" spans="1:20" s="148" customFormat="1" x14ac:dyDescent="0.2">
      <c r="A39" s="98" t="s">
        <v>207</v>
      </c>
      <c r="B39" s="149">
        <v>96544</v>
      </c>
      <c r="C39" s="100" t="s">
        <v>16</v>
      </c>
      <c r="D39" s="100" t="s">
        <v>203</v>
      </c>
      <c r="E39" s="101" t="s">
        <v>33</v>
      </c>
      <c r="F39" s="112">
        <v>40.909999999999997</v>
      </c>
      <c r="G39" s="103"/>
      <c r="H39" s="103">
        <f t="shared" ref="H39:H40" si="23">ROUND(G39+G39*$H$2,2)</f>
        <v>0</v>
      </c>
      <c r="I39" s="104">
        <f t="shared" si="20"/>
        <v>0</v>
      </c>
      <c r="J39" s="104">
        <f t="shared" si="21"/>
        <v>0</v>
      </c>
      <c r="K39" s="103">
        <f t="shared" ref="K39:K40" si="24">ROUND(F39*H39,2)</f>
        <v>0</v>
      </c>
      <c r="L39" s="105"/>
      <c r="N39" s="128"/>
      <c r="O39" s="176"/>
      <c r="S39" s="172"/>
      <c r="T39" s="158"/>
    </row>
    <row r="40" spans="1:20" s="148" customFormat="1" ht="25.5" x14ac:dyDescent="0.2">
      <c r="A40" s="98" t="s">
        <v>208</v>
      </c>
      <c r="B40" s="149">
        <v>104920</v>
      </c>
      <c r="C40" s="100" t="s">
        <v>16</v>
      </c>
      <c r="D40" s="100" t="s">
        <v>204</v>
      </c>
      <c r="E40" s="101" t="s">
        <v>33</v>
      </c>
      <c r="F40" s="102">
        <v>50.85</v>
      </c>
      <c r="G40" s="103"/>
      <c r="H40" s="103">
        <f t="shared" si="23"/>
        <v>0</v>
      </c>
      <c r="I40" s="104">
        <f t="shared" si="20"/>
        <v>0</v>
      </c>
      <c r="J40" s="104">
        <f t="shared" si="21"/>
        <v>0</v>
      </c>
      <c r="K40" s="103">
        <f t="shared" si="24"/>
        <v>0</v>
      </c>
      <c r="L40" s="105"/>
      <c r="N40" s="128"/>
      <c r="O40" s="176"/>
      <c r="S40" s="170"/>
      <c r="T40" s="158"/>
    </row>
    <row r="41" spans="1:20" ht="25.5" x14ac:dyDescent="0.2">
      <c r="A41" s="98" t="s">
        <v>209</v>
      </c>
      <c r="B41" s="99" t="s">
        <v>34</v>
      </c>
      <c r="C41" s="100" t="s">
        <v>168</v>
      </c>
      <c r="D41" s="100" t="s">
        <v>141</v>
      </c>
      <c r="E41" s="101" t="s">
        <v>19</v>
      </c>
      <c r="F41" s="102">
        <v>2.48</v>
      </c>
      <c r="G41" s="103"/>
      <c r="H41" s="103">
        <f t="shared" si="19"/>
        <v>0</v>
      </c>
      <c r="I41" s="104">
        <f t="shared" si="20"/>
        <v>0</v>
      </c>
      <c r="J41" s="104">
        <f t="shared" si="21"/>
        <v>0</v>
      </c>
      <c r="K41" s="103">
        <f t="shared" si="22"/>
        <v>0</v>
      </c>
      <c r="L41" s="105"/>
      <c r="N41" s="128"/>
      <c r="O41" s="176"/>
      <c r="S41" s="170"/>
      <c r="T41" s="158"/>
    </row>
    <row r="42" spans="1:20" ht="25.5" x14ac:dyDescent="0.2">
      <c r="A42" s="98" t="s">
        <v>210</v>
      </c>
      <c r="B42" s="99" t="s">
        <v>35</v>
      </c>
      <c r="C42" s="100" t="s">
        <v>168</v>
      </c>
      <c r="D42" s="100" t="s">
        <v>142</v>
      </c>
      <c r="E42" s="101" t="s">
        <v>19</v>
      </c>
      <c r="F42" s="102">
        <v>2.48</v>
      </c>
      <c r="G42" s="103"/>
      <c r="H42" s="103">
        <f t="shared" si="19"/>
        <v>0</v>
      </c>
      <c r="I42" s="104">
        <f t="shared" si="20"/>
        <v>0</v>
      </c>
      <c r="J42" s="104">
        <f t="shared" si="21"/>
        <v>0</v>
      </c>
      <c r="K42" s="103">
        <f t="shared" si="22"/>
        <v>0</v>
      </c>
      <c r="L42" s="105"/>
      <c r="N42" s="128"/>
      <c r="O42" s="176"/>
      <c r="S42" s="170"/>
      <c r="T42" s="158"/>
    </row>
    <row r="43" spans="1:20" ht="26.1" customHeight="1" x14ac:dyDescent="0.2">
      <c r="A43" s="106">
        <v>6</v>
      </c>
      <c r="B43" s="107"/>
      <c r="C43" s="107"/>
      <c r="D43" s="107" t="s">
        <v>160</v>
      </c>
      <c r="E43" s="107"/>
      <c r="F43" s="108"/>
      <c r="G43" s="107"/>
      <c r="H43" s="107"/>
      <c r="I43" s="109">
        <f>SUM(I44:I48)</f>
        <v>0</v>
      </c>
      <c r="J43" s="109">
        <f>SUM(J44:J48)</f>
        <v>0</v>
      </c>
      <c r="K43" s="110">
        <f>SUM(K44:K48)</f>
        <v>0</v>
      </c>
      <c r="L43" s="111" t="e">
        <f>K43/$K$80</f>
        <v>#DIV/0!</v>
      </c>
      <c r="N43" s="128"/>
      <c r="O43" s="176"/>
      <c r="S43" s="171"/>
      <c r="T43" s="158"/>
    </row>
    <row r="44" spans="1:20" s="148" customFormat="1" x14ac:dyDescent="0.2">
      <c r="A44" s="98" t="s">
        <v>109</v>
      </c>
      <c r="B44" s="149" t="s">
        <v>107</v>
      </c>
      <c r="C44" s="100" t="s">
        <v>168</v>
      </c>
      <c r="D44" s="100" t="s">
        <v>161</v>
      </c>
      <c r="E44" s="101" t="s">
        <v>33</v>
      </c>
      <c r="F44" s="102">
        <v>2885.6</v>
      </c>
      <c r="G44" s="103"/>
      <c r="H44" s="103">
        <f t="shared" ref="H44:H48" si="25">ROUND(G44+G44*$H$2,2)</f>
        <v>0</v>
      </c>
      <c r="I44" s="104">
        <f>ROUND(K44*$N$81,2)</f>
        <v>0</v>
      </c>
      <c r="J44" s="104">
        <f t="shared" ref="J44:J47" si="26">K44-I44</f>
        <v>0</v>
      </c>
      <c r="K44" s="103">
        <f t="shared" ref="K44:K48" si="27">ROUND(F44*H44,2)</f>
        <v>0</v>
      </c>
      <c r="L44" s="105"/>
      <c r="N44" s="128"/>
      <c r="O44" s="176"/>
      <c r="S44" s="170"/>
      <c r="T44" s="158"/>
    </row>
    <row r="45" spans="1:20" s="148" customFormat="1" ht="25.5" x14ac:dyDescent="0.2">
      <c r="A45" s="98" t="s">
        <v>106</v>
      </c>
      <c r="B45" s="149">
        <v>100719</v>
      </c>
      <c r="C45" s="100" t="s">
        <v>16</v>
      </c>
      <c r="D45" s="100" t="s">
        <v>162</v>
      </c>
      <c r="E45" s="101" t="s">
        <v>158</v>
      </c>
      <c r="F45" s="102">
        <v>125.01</v>
      </c>
      <c r="G45" s="103"/>
      <c r="H45" s="103">
        <f t="shared" si="25"/>
        <v>0</v>
      </c>
      <c r="I45" s="104">
        <f>ROUND(K45*$N$81,2)</f>
        <v>0</v>
      </c>
      <c r="J45" s="104">
        <f t="shared" si="26"/>
        <v>0</v>
      </c>
      <c r="K45" s="103">
        <f t="shared" si="27"/>
        <v>0</v>
      </c>
      <c r="L45" s="105"/>
      <c r="N45" s="128"/>
      <c r="O45" s="176"/>
      <c r="S45" s="170"/>
      <c r="T45" s="158"/>
    </row>
    <row r="46" spans="1:20" s="148" customFormat="1" x14ac:dyDescent="0.2">
      <c r="A46" s="98" t="s">
        <v>108</v>
      </c>
      <c r="B46" s="149" t="s">
        <v>212</v>
      </c>
      <c r="C46" s="100" t="s">
        <v>168</v>
      </c>
      <c r="D46" s="100" t="s">
        <v>211</v>
      </c>
      <c r="E46" s="101" t="s">
        <v>33</v>
      </c>
      <c r="F46" s="102">
        <v>2885.6</v>
      </c>
      <c r="G46" s="103"/>
      <c r="H46" s="103">
        <f t="shared" ref="H46" si="28">ROUND(G46+G46*$H$2,2)</f>
        <v>0</v>
      </c>
      <c r="I46" s="104">
        <f>ROUND(K46*$N$81,2)</f>
        <v>0</v>
      </c>
      <c r="J46" s="104">
        <f t="shared" si="26"/>
        <v>0</v>
      </c>
      <c r="K46" s="103">
        <f t="shared" ref="K46" si="29">ROUND(F46*H46,2)</f>
        <v>0</v>
      </c>
      <c r="L46" s="105"/>
      <c r="N46" s="128"/>
      <c r="O46" s="176"/>
      <c r="S46" s="170"/>
      <c r="T46" s="158"/>
    </row>
    <row r="47" spans="1:20" s="148" customFormat="1" ht="25.5" x14ac:dyDescent="0.2">
      <c r="A47" s="98" t="s">
        <v>110</v>
      </c>
      <c r="B47" s="149" t="s">
        <v>163</v>
      </c>
      <c r="C47" s="100" t="s">
        <v>168</v>
      </c>
      <c r="D47" s="100" t="s">
        <v>213</v>
      </c>
      <c r="E47" s="101" t="s">
        <v>41</v>
      </c>
      <c r="F47" s="102">
        <v>6.14</v>
      </c>
      <c r="G47" s="103"/>
      <c r="H47" s="103">
        <f t="shared" si="25"/>
        <v>0</v>
      </c>
      <c r="I47" s="104">
        <f>ROUND(K47*$N$81,2)</f>
        <v>0</v>
      </c>
      <c r="J47" s="104">
        <f t="shared" si="26"/>
        <v>0</v>
      </c>
      <c r="K47" s="103">
        <f t="shared" si="27"/>
        <v>0</v>
      </c>
      <c r="L47" s="105"/>
      <c r="N47" s="128"/>
      <c r="O47" s="176"/>
      <c r="S47" s="170"/>
      <c r="T47" s="158"/>
    </row>
    <row r="48" spans="1:20" s="148" customFormat="1" ht="38.25" x14ac:dyDescent="0.2">
      <c r="A48" s="98" t="s">
        <v>111</v>
      </c>
      <c r="B48" s="149" t="s">
        <v>164</v>
      </c>
      <c r="C48" s="100" t="s">
        <v>27</v>
      </c>
      <c r="D48" s="100" t="s">
        <v>255</v>
      </c>
      <c r="E48" s="101" t="s">
        <v>101</v>
      </c>
      <c r="F48" s="102">
        <v>1</v>
      </c>
      <c r="G48" s="103"/>
      <c r="H48" s="103">
        <f t="shared" si="25"/>
        <v>0</v>
      </c>
      <c r="I48" s="104">
        <f>ROUND(K48*$N$81,2)</f>
        <v>0</v>
      </c>
      <c r="J48" s="104">
        <f>K48-I48</f>
        <v>0</v>
      </c>
      <c r="K48" s="103">
        <f t="shared" si="27"/>
        <v>0</v>
      </c>
      <c r="L48" s="105"/>
      <c r="N48" s="128"/>
      <c r="O48" s="176"/>
      <c r="S48" s="170"/>
      <c r="T48" s="158"/>
    </row>
    <row r="49" spans="1:20" ht="30" customHeight="1" x14ac:dyDescent="0.2">
      <c r="A49" s="106">
        <v>7</v>
      </c>
      <c r="B49" s="107"/>
      <c r="C49" s="107"/>
      <c r="D49" s="107" t="s">
        <v>216</v>
      </c>
      <c r="E49" s="107"/>
      <c r="F49" s="108"/>
      <c r="G49" s="107"/>
      <c r="H49" s="107"/>
      <c r="I49" s="109">
        <f>SUM(I50:I52)</f>
        <v>0</v>
      </c>
      <c r="J49" s="109">
        <f>SUM(J50:J52)</f>
        <v>0</v>
      </c>
      <c r="K49" s="110">
        <f>SUM(K50:K52)</f>
        <v>0</v>
      </c>
      <c r="L49" s="111" t="e">
        <f>K49/$K$80</f>
        <v>#DIV/0!</v>
      </c>
      <c r="N49" s="128"/>
      <c r="O49" s="176"/>
      <c r="S49" s="171"/>
      <c r="T49" s="158"/>
    </row>
    <row r="50" spans="1:20" ht="51" x14ac:dyDescent="0.2">
      <c r="A50" s="98" t="s">
        <v>214</v>
      </c>
      <c r="B50" s="99">
        <v>90092</v>
      </c>
      <c r="C50" s="100" t="s">
        <v>16</v>
      </c>
      <c r="D50" s="100" t="s">
        <v>232</v>
      </c>
      <c r="E50" s="101" t="s">
        <v>118</v>
      </c>
      <c r="F50" s="102">
        <v>53.67</v>
      </c>
      <c r="G50" s="103"/>
      <c r="H50" s="103">
        <f>ROUND(G50+G50*$H$2,2)</f>
        <v>0</v>
      </c>
      <c r="I50" s="104">
        <f>ROUND(K50*$N$81,2)</f>
        <v>0</v>
      </c>
      <c r="J50" s="104">
        <f t="shared" ref="J50:J52" si="30">K50-I50</f>
        <v>0</v>
      </c>
      <c r="K50" s="103">
        <f>ROUND(F50*H50,2)</f>
        <v>0</v>
      </c>
      <c r="L50" s="105"/>
      <c r="N50" s="128"/>
      <c r="O50" s="176"/>
      <c r="S50" s="170"/>
      <c r="T50" s="158"/>
    </row>
    <row r="51" spans="1:20" ht="51" x14ac:dyDescent="0.2">
      <c r="A51" s="98" t="s">
        <v>215</v>
      </c>
      <c r="B51" s="99">
        <v>102279</v>
      </c>
      <c r="C51" s="100" t="s">
        <v>16</v>
      </c>
      <c r="D51" s="100" t="s">
        <v>233</v>
      </c>
      <c r="E51" s="101" t="s">
        <v>19</v>
      </c>
      <c r="F51" s="102">
        <v>4.87</v>
      </c>
      <c r="G51" s="103"/>
      <c r="H51" s="103">
        <f>ROUND(G51+G51*$H$2,2)</f>
        <v>0</v>
      </c>
      <c r="I51" s="104">
        <f>ROUND(K51*$N$81,2)</f>
        <v>0</v>
      </c>
      <c r="J51" s="104">
        <f t="shared" si="30"/>
        <v>0</v>
      </c>
      <c r="K51" s="103">
        <f>ROUND(F51*H51,2)</f>
        <v>0</v>
      </c>
      <c r="L51" s="105"/>
      <c r="N51" s="128"/>
      <c r="O51" s="176"/>
      <c r="S51" s="170"/>
      <c r="T51" s="158"/>
    </row>
    <row r="52" spans="1:20" ht="25.5" x14ac:dyDescent="0.2">
      <c r="A52" s="98" t="s">
        <v>117</v>
      </c>
      <c r="B52" s="99">
        <v>101616</v>
      </c>
      <c r="C52" s="100" t="s">
        <v>16</v>
      </c>
      <c r="D52" s="100" t="s">
        <v>39</v>
      </c>
      <c r="E52" s="101" t="s">
        <v>17</v>
      </c>
      <c r="F52" s="102">
        <v>43.28</v>
      </c>
      <c r="G52" s="103"/>
      <c r="H52" s="103">
        <f>ROUND(G52+G52*$H$2,2)</f>
        <v>0</v>
      </c>
      <c r="I52" s="104">
        <f>ROUND(K52*$N$81,2)</f>
        <v>0</v>
      </c>
      <c r="J52" s="104">
        <f t="shared" si="30"/>
        <v>0</v>
      </c>
      <c r="K52" s="103">
        <f>ROUND(F52*H52,2)</f>
        <v>0</v>
      </c>
      <c r="L52" s="105"/>
      <c r="N52" s="128"/>
      <c r="O52" s="176"/>
      <c r="S52" s="170"/>
      <c r="T52" s="158"/>
    </row>
    <row r="53" spans="1:20" ht="30" customHeight="1" x14ac:dyDescent="0.2">
      <c r="A53" s="106">
        <v>8</v>
      </c>
      <c r="B53" s="107"/>
      <c r="C53" s="107"/>
      <c r="D53" s="107" t="s">
        <v>40</v>
      </c>
      <c r="E53" s="107"/>
      <c r="F53" s="108"/>
      <c r="G53" s="107"/>
      <c r="H53" s="107"/>
      <c r="I53" s="109">
        <f>SUM(I54:I58)</f>
        <v>0</v>
      </c>
      <c r="J53" s="109">
        <f>SUM(J54:J58)</f>
        <v>0</v>
      </c>
      <c r="K53" s="110">
        <f>SUM(K54:K58)</f>
        <v>0</v>
      </c>
      <c r="L53" s="111" t="e">
        <f>K53/$K$80</f>
        <v>#DIV/0!</v>
      </c>
      <c r="N53" s="128"/>
      <c r="O53" s="176"/>
      <c r="S53" s="171"/>
      <c r="T53" s="158"/>
    </row>
    <row r="54" spans="1:20" ht="25.5" x14ac:dyDescent="0.2">
      <c r="A54" s="98" t="s">
        <v>217</v>
      </c>
      <c r="B54" s="99" t="s">
        <v>222</v>
      </c>
      <c r="C54" s="100" t="s">
        <v>168</v>
      </c>
      <c r="D54" s="100" t="s">
        <v>224</v>
      </c>
      <c r="E54" s="101" t="s">
        <v>41</v>
      </c>
      <c r="F54" s="102">
        <v>30</v>
      </c>
      <c r="G54" s="103"/>
      <c r="H54" s="103">
        <f>ROUND(G54+G54*$H$2,2)</f>
        <v>0</v>
      </c>
      <c r="I54" s="104">
        <f>ROUND(K54*$N$81,2)</f>
        <v>0</v>
      </c>
      <c r="J54" s="104">
        <f t="shared" ref="J54" si="31">K54-I54</f>
        <v>0</v>
      </c>
      <c r="K54" s="103">
        <f>ROUND(F54*H54,2)</f>
        <v>0</v>
      </c>
      <c r="L54" s="105"/>
      <c r="N54" s="128"/>
      <c r="O54" s="176"/>
      <c r="S54" s="170"/>
      <c r="T54" s="158"/>
    </row>
    <row r="55" spans="1:20" x14ac:dyDescent="0.2">
      <c r="A55" s="98" t="s">
        <v>218</v>
      </c>
      <c r="B55" s="99" t="s">
        <v>114</v>
      </c>
      <c r="C55" s="100" t="s">
        <v>97</v>
      </c>
      <c r="D55" s="100" t="s">
        <v>113</v>
      </c>
      <c r="E55" s="101" t="s">
        <v>101</v>
      </c>
      <c r="F55" s="102">
        <v>1</v>
      </c>
      <c r="G55" s="103"/>
      <c r="H55" s="103">
        <f>ROUND(G55+G55*$H$2,2)</f>
        <v>0</v>
      </c>
      <c r="I55" s="104">
        <f>ROUND(K55*$N$81,2)</f>
        <v>0</v>
      </c>
      <c r="J55" s="104">
        <f t="shared" ref="J55:J58" si="32">K55-I55</f>
        <v>0</v>
      </c>
      <c r="K55" s="103">
        <f>ROUND(F55*H55,2)</f>
        <v>0</v>
      </c>
      <c r="L55" s="105"/>
      <c r="N55" s="128"/>
      <c r="O55" s="176"/>
      <c r="S55" s="170"/>
      <c r="T55" s="158"/>
    </row>
    <row r="56" spans="1:20" x14ac:dyDescent="0.2">
      <c r="A56" s="98" t="s">
        <v>219</v>
      </c>
      <c r="B56" s="99" t="s">
        <v>116</v>
      </c>
      <c r="C56" s="100" t="s">
        <v>97</v>
      </c>
      <c r="D56" s="100" t="s">
        <v>115</v>
      </c>
      <c r="E56" s="101" t="s">
        <v>101</v>
      </c>
      <c r="F56" s="102">
        <v>1</v>
      </c>
      <c r="G56" s="103"/>
      <c r="H56" s="103">
        <f>ROUND(G56+G56*$H$2,2)</f>
        <v>0</v>
      </c>
      <c r="I56" s="104">
        <f>ROUND(K56*$N$81,2)</f>
        <v>0</v>
      </c>
      <c r="J56" s="104">
        <f t="shared" si="32"/>
        <v>0</v>
      </c>
      <c r="K56" s="103">
        <f>ROUND(F56*H56,2)</f>
        <v>0</v>
      </c>
      <c r="L56" s="105"/>
      <c r="N56" s="128"/>
      <c r="O56" s="176"/>
      <c r="S56" s="170"/>
      <c r="T56" s="158"/>
    </row>
    <row r="57" spans="1:20" ht="25.5" x14ac:dyDescent="0.2">
      <c r="A57" s="98" t="s">
        <v>220</v>
      </c>
      <c r="B57" s="99" t="s">
        <v>221</v>
      </c>
      <c r="C57" s="100" t="s">
        <v>168</v>
      </c>
      <c r="D57" s="100" t="s">
        <v>223</v>
      </c>
      <c r="E57" s="101" t="s">
        <v>41</v>
      </c>
      <c r="F57" s="102">
        <v>48</v>
      </c>
      <c r="G57" s="103"/>
      <c r="H57" s="103">
        <f>ROUND(G57+G57*$H$2,2)</f>
        <v>0</v>
      </c>
      <c r="I57" s="104">
        <f>ROUND(K57*$N$81,2)</f>
        <v>0</v>
      </c>
      <c r="J57" s="104">
        <f t="shared" si="32"/>
        <v>0</v>
      </c>
      <c r="K57" s="103">
        <f>ROUND(F57*H57,2)</f>
        <v>0</v>
      </c>
      <c r="L57" s="105"/>
      <c r="N57" s="128"/>
      <c r="O57" s="176"/>
      <c r="S57" s="170"/>
      <c r="T57" s="158"/>
    </row>
    <row r="58" spans="1:20" ht="25.5" x14ac:dyDescent="0.2">
      <c r="A58" s="98" t="s">
        <v>225</v>
      </c>
      <c r="B58" s="99">
        <v>90728</v>
      </c>
      <c r="C58" s="100" t="s">
        <v>16</v>
      </c>
      <c r="D58" s="100" t="s">
        <v>112</v>
      </c>
      <c r="E58" s="101" t="s">
        <v>101</v>
      </c>
      <c r="F58" s="102">
        <v>4</v>
      </c>
      <c r="G58" s="103"/>
      <c r="H58" s="103">
        <f>ROUND(G58+G58*$H$2,2)</f>
        <v>0</v>
      </c>
      <c r="I58" s="104">
        <f>ROUND(K58*$N$81,2)</f>
        <v>0</v>
      </c>
      <c r="J58" s="104">
        <f t="shared" si="32"/>
        <v>0</v>
      </c>
      <c r="K58" s="103">
        <f>ROUND(F58*H58,2)</f>
        <v>0</v>
      </c>
      <c r="L58" s="105"/>
      <c r="N58" s="128"/>
      <c r="O58" s="176"/>
      <c r="S58" s="170"/>
      <c r="T58" s="158"/>
    </row>
    <row r="59" spans="1:20" ht="30" customHeight="1" x14ac:dyDescent="0.2">
      <c r="A59" s="106">
        <v>9</v>
      </c>
      <c r="B59" s="107"/>
      <c r="C59" s="107"/>
      <c r="D59" s="107" t="s">
        <v>245</v>
      </c>
      <c r="E59" s="107"/>
      <c r="F59" s="108"/>
      <c r="G59" s="107"/>
      <c r="H59" s="107"/>
      <c r="I59" s="109">
        <f t="shared" ref="I59:J59" si="33">SUM(I60:I63)</f>
        <v>0</v>
      </c>
      <c r="J59" s="109">
        <f t="shared" si="33"/>
        <v>0</v>
      </c>
      <c r="K59" s="110">
        <f>ROUND(SUM(K60:K63),2)</f>
        <v>0</v>
      </c>
      <c r="L59" s="111" t="e">
        <f>K59/$K$80</f>
        <v>#DIV/0!</v>
      </c>
      <c r="N59" s="128"/>
      <c r="O59" s="176"/>
      <c r="S59" s="171"/>
      <c r="T59" s="158"/>
    </row>
    <row r="60" spans="1:20" ht="38.25" x14ac:dyDescent="0.2">
      <c r="A60" s="98" t="s">
        <v>226</v>
      </c>
      <c r="B60" s="99" t="s">
        <v>42</v>
      </c>
      <c r="C60" s="100" t="s">
        <v>16</v>
      </c>
      <c r="D60" s="100" t="s">
        <v>43</v>
      </c>
      <c r="E60" s="101" t="s">
        <v>30</v>
      </c>
      <c r="F60" s="102">
        <v>2</v>
      </c>
      <c r="G60" s="103"/>
      <c r="H60" s="103">
        <f>ROUND(G60+G60*$H$2,2)</f>
        <v>0</v>
      </c>
      <c r="I60" s="104">
        <f>ROUND(K60*$N$81,2)</f>
        <v>0</v>
      </c>
      <c r="J60" s="104">
        <f t="shared" ref="J60:J63" si="34">K60-I60</f>
        <v>0</v>
      </c>
      <c r="K60" s="103">
        <f>ROUND(F60*H60,2)</f>
        <v>0</v>
      </c>
      <c r="L60" s="105"/>
      <c r="N60" s="128"/>
      <c r="O60" s="176"/>
      <c r="S60" s="170"/>
      <c r="T60" s="158"/>
    </row>
    <row r="61" spans="1:20" ht="25.5" x14ac:dyDescent="0.2">
      <c r="A61" s="98" t="s">
        <v>227</v>
      </c>
      <c r="B61" s="99" t="s">
        <v>44</v>
      </c>
      <c r="C61" s="100" t="s">
        <v>16</v>
      </c>
      <c r="D61" s="100" t="s">
        <v>45</v>
      </c>
      <c r="E61" s="101" t="s">
        <v>41</v>
      </c>
      <c r="F61" s="102">
        <v>1.22</v>
      </c>
      <c r="G61" s="103"/>
      <c r="H61" s="103">
        <f>ROUND(G61+G61*$H$2,2)</f>
        <v>0</v>
      </c>
      <c r="I61" s="104">
        <f>ROUND(K61*$N$81,2)</f>
        <v>0</v>
      </c>
      <c r="J61" s="104">
        <f t="shared" si="34"/>
        <v>0</v>
      </c>
      <c r="K61" s="103">
        <f>ROUND(F61*H61,2)</f>
        <v>0</v>
      </c>
      <c r="L61" s="105"/>
      <c r="N61" s="128"/>
      <c r="O61" s="176"/>
      <c r="S61" s="170"/>
      <c r="T61" s="158"/>
    </row>
    <row r="62" spans="1:20" ht="25.5" x14ac:dyDescent="0.2">
      <c r="A62" s="98" t="s">
        <v>228</v>
      </c>
      <c r="B62" s="99">
        <v>98050</v>
      </c>
      <c r="C62" s="100" t="s">
        <v>16</v>
      </c>
      <c r="D62" s="100" t="s">
        <v>119</v>
      </c>
      <c r="E62" s="101" t="s">
        <v>41</v>
      </c>
      <c r="F62" s="102">
        <v>1</v>
      </c>
      <c r="G62" s="103"/>
      <c r="H62" s="103">
        <f>ROUND(G62+G62*$H$2,2)</f>
        <v>0</v>
      </c>
      <c r="I62" s="104">
        <f>ROUND(K62*$N$81,2)</f>
        <v>0</v>
      </c>
      <c r="J62" s="104">
        <f t="shared" si="34"/>
        <v>0</v>
      </c>
      <c r="K62" s="103">
        <f>ROUND(F62*H62,2)</f>
        <v>0</v>
      </c>
      <c r="L62" s="105"/>
      <c r="N62" s="128"/>
      <c r="O62" s="176"/>
      <c r="S62" s="170"/>
      <c r="T62" s="158"/>
    </row>
    <row r="63" spans="1:20" ht="38.25" x14ac:dyDescent="0.2">
      <c r="A63" s="98" t="s">
        <v>229</v>
      </c>
      <c r="B63" s="99">
        <v>97739</v>
      </c>
      <c r="C63" s="100" t="s">
        <v>16</v>
      </c>
      <c r="D63" s="100" t="s">
        <v>143</v>
      </c>
      <c r="E63" s="101" t="s">
        <v>118</v>
      </c>
      <c r="F63" s="112">
        <v>0.08</v>
      </c>
      <c r="G63" s="103"/>
      <c r="H63" s="103">
        <f>ROUND(G63+G63*$H$2,2)</f>
        <v>0</v>
      </c>
      <c r="I63" s="104">
        <f>ROUND(K63*$N$81,2)</f>
        <v>0</v>
      </c>
      <c r="J63" s="104">
        <f t="shared" si="34"/>
        <v>0</v>
      </c>
      <c r="K63" s="103">
        <f>ROUND(F63*H63,2)</f>
        <v>0</v>
      </c>
      <c r="L63" s="105"/>
      <c r="N63" s="128"/>
      <c r="O63" s="176"/>
      <c r="S63" s="172"/>
      <c r="T63" s="158"/>
    </row>
    <row r="64" spans="1:20" ht="30" customHeight="1" x14ac:dyDescent="0.2">
      <c r="A64" s="106">
        <v>10</v>
      </c>
      <c r="B64" s="107"/>
      <c r="C64" s="107"/>
      <c r="D64" s="107" t="s">
        <v>247</v>
      </c>
      <c r="E64" s="107"/>
      <c r="F64" s="108"/>
      <c r="G64" s="107"/>
      <c r="H64" s="107"/>
      <c r="I64" s="109">
        <f>SUM(I65:I66)</f>
        <v>0</v>
      </c>
      <c r="J64" s="109">
        <f>SUM(J65:J66)</f>
        <v>0</v>
      </c>
      <c r="K64" s="110">
        <f>SUM(K65:K66)</f>
        <v>0</v>
      </c>
      <c r="L64" s="111" t="e">
        <f>K64/$K$80</f>
        <v>#DIV/0!</v>
      </c>
      <c r="N64" s="128"/>
      <c r="O64" s="176"/>
      <c r="S64" s="171"/>
      <c r="T64" s="158"/>
    </row>
    <row r="65" spans="1:20" ht="51" x14ac:dyDescent="0.2">
      <c r="A65" s="98" t="s">
        <v>128</v>
      </c>
      <c r="B65" s="99" t="s">
        <v>46</v>
      </c>
      <c r="C65" s="100" t="s">
        <v>16</v>
      </c>
      <c r="D65" s="100" t="s">
        <v>230</v>
      </c>
      <c r="E65" s="101" t="s">
        <v>118</v>
      </c>
      <c r="F65" s="102">
        <v>51.51</v>
      </c>
      <c r="G65" s="103"/>
      <c r="H65" s="103">
        <f>ROUND(G65+G65*$H$2,2)</f>
        <v>0</v>
      </c>
      <c r="I65" s="104">
        <f>ROUND(K65*$N$81,2)</f>
        <v>0</v>
      </c>
      <c r="J65" s="104">
        <f t="shared" ref="J65:J66" si="35">K65-I65</f>
        <v>0</v>
      </c>
      <c r="K65" s="103">
        <f>ROUND(F65*H65,2)</f>
        <v>0</v>
      </c>
      <c r="L65" s="105"/>
      <c r="N65" s="128"/>
      <c r="O65" s="176"/>
      <c r="S65" s="170"/>
      <c r="T65" s="158"/>
    </row>
    <row r="66" spans="1:20" ht="51" x14ac:dyDescent="0.2">
      <c r="A66" s="98" t="s">
        <v>129</v>
      </c>
      <c r="B66" s="99">
        <v>93378</v>
      </c>
      <c r="C66" s="100" t="s">
        <v>16</v>
      </c>
      <c r="D66" s="100" t="s">
        <v>231</v>
      </c>
      <c r="E66" s="101" t="s">
        <v>118</v>
      </c>
      <c r="F66" s="102">
        <v>3.52</v>
      </c>
      <c r="G66" s="103"/>
      <c r="H66" s="103">
        <f>ROUND(G66+G66*$H$2,2)</f>
        <v>0</v>
      </c>
      <c r="I66" s="104">
        <f>ROUND(K66*$N$81,2)</f>
        <v>0</v>
      </c>
      <c r="J66" s="104">
        <f t="shared" si="35"/>
        <v>0</v>
      </c>
      <c r="K66" s="103">
        <f>ROUND(F66*H66,2)</f>
        <v>0</v>
      </c>
      <c r="L66" s="105"/>
      <c r="N66" s="128"/>
      <c r="O66" s="176"/>
      <c r="S66" s="170"/>
      <c r="T66" s="158"/>
    </row>
    <row r="67" spans="1:20" ht="30" customHeight="1" x14ac:dyDescent="0.2">
      <c r="A67" s="106">
        <v>11</v>
      </c>
      <c r="B67" s="107"/>
      <c r="C67" s="107"/>
      <c r="D67" s="107" t="s">
        <v>246</v>
      </c>
      <c r="E67" s="107"/>
      <c r="F67" s="108"/>
      <c r="G67" s="107"/>
      <c r="H67" s="107"/>
      <c r="I67" s="109">
        <f>SUM(I68:I70)</f>
        <v>0</v>
      </c>
      <c r="J67" s="109">
        <f>SUM(J68:J70)</f>
        <v>0</v>
      </c>
      <c r="K67" s="110">
        <f>SUM(K68:K70)</f>
        <v>0</v>
      </c>
      <c r="L67" s="111" t="e">
        <f>K67/$K$80</f>
        <v>#DIV/0!</v>
      </c>
      <c r="N67" s="128"/>
      <c r="O67" s="176"/>
      <c r="S67" s="171"/>
      <c r="T67" s="158"/>
    </row>
    <row r="68" spans="1:20" ht="25.5" x14ac:dyDescent="0.2">
      <c r="A68" s="98" t="s">
        <v>234</v>
      </c>
      <c r="B68" s="99" t="s">
        <v>46</v>
      </c>
      <c r="C68" s="100" t="s">
        <v>16</v>
      </c>
      <c r="D68" s="100" t="s">
        <v>47</v>
      </c>
      <c r="E68" s="101" t="s">
        <v>19</v>
      </c>
      <c r="F68" s="102">
        <v>212.8</v>
      </c>
      <c r="G68" s="103"/>
      <c r="H68" s="103">
        <f>ROUND(G68+G68*$H$2,2)</f>
        <v>0</v>
      </c>
      <c r="I68" s="104">
        <f>ROUND(K68*$N$81,2)</f>
        <v>0</v>
      </c>
      <c r="J68" s="104">
        <f t="shared" ref="J68:J70" si="36">K68-I68</f>
        <v>0</v>
      </c>
      <c r="K68" s="103">
        <f>ROUND(F68*H68,2)</f>
        <v>0</v>
      </c>
      <c r="L68" s="105"/>
      <c r="N68" s="128"/>
      <c r="O68" s="176"/>
      <c r="S68" s="170"/>
      <c r="T68" s="158"/>
    </row>
    <row r="69" spans="1:20" ht="25.5" x14ac:dyDescent="0.2">
      <c r="A69" s="98" t="s">
        <v>235</v>
      </c>
      <c r="B69" s="99">
        <v>95875</v>
      </c>
      <c r="C69" s="100" t="s">
        <v>16</v>
      </c>
      <c r="D69" s="100" t="s">
        <v>48</v>
      </c>
      <c r="E69" s="101" t="s">
        <v>23</v>
      </c>
      <c r="F69" s="102">
        <v>1936.48</v>
      </c>
      <c r="G69" s="103"/>
      <c r="H69" s="103">
        <f>ROUND(G69+G69*$H$2,2)</f>
        <v>0</v>
      </c>
      <c r="I69" s="104">
        <f>ROUND(K69*$N$81,2)</f>
        <v>0</v>
      </c>
      <c r="J69" s="104">
        <f t="shared" si="36"/>
        <v>0</v>
      </c>
      <c r="K69" s="103">
        <f>ROUND(F69*H69,2)</f>
        <v>0</v>
      </c>
      <c r="L69" s="105"/>
      <c r="N69" s="128"/>
      <c r="O69" s="176"/>
      <c r="S69" s="170"/>
      <c r="T69" s="158"/>
    </row>
    <row r="70" spans="1:20" ht="38.25" x14ac:dyDescent="0.2">
      <c r="A70" s="98" t="s">
        <v>236</v>
      </c>
      <c r="B70" s="99" t="s">
        <v>49</v>
      </c>
      <c r="C70" s="100" t="s">
        <v>16</v>
      </c>
      <c r="D70" s="100" t="s">
        <v>50</v>
      </c>
      <c r="E70" s="101" t="s">
        <v>19</v>
      </c>
      <c r="F70" s="102">
        <v>236.44</v>
      </c>
      <c r="G70" s="103"/>
      <c r="H70" s="103">
        <f>ROUND(G70+G70*$H$2,2)</f>
        <v>0</v>
      </c>
      <c r="I70" s="104">
        <f>ROUND(K70*$N$81,2)</f>
        <v>0</v>
      </c>
      <c r="J70" s="104">
        <f t="shared" si="36"/>
        <v>0</v>
      </c>
      <c r="K70" s="103">
        <f>ROUND(F70*H70,2)</f>
        <v>0</v>
      </c>
      <c r="L70" s="105"/>
      <c r="N70" s="128"/>
      <c r="O70" s="176"/>
      <c r="S70" s="170"/>
      <c r="T70" s="158"/>
    </row>
    <row r="71" spans="1:20" ht="30" customHeight="1" x14ac:dyDescent="0.2">
      <c r="A71" s="106">
        <v>12</v>
      </c>
      <c r="B71" s="107"/>
      <c r="C71" s="107"/>
      <c r="D71" s="107" t="s">
        <v>249</v>
      </c>
      <c r="E71" s="107"/>
      <c r="F71" s="108"/>
      <c r="G71" s="107"/>
      <c r="H71" s="107"/>
      <c r="I71" s="109">
        <f t="shared" ref="I71:J71" si="37">SUM(I72:I73)</f>
        <v>0</v>
      </c>
      <c r="J71" s="109">
        <f t="shared" si="37"/>
        <v>0</v>
      </c>
      <c r="K71" s="110">
        <f>SUM(K72:K73)</f>
        <v>0</v>
      </c>
      <c r="L71" s="111" t="e">
        <f>K71/$K$80</f>
        <v>#DIV/0!</v>
      </c>
      <c r="N71" s="128"/>
      <c r="O71" s="176"/>
      <c r="S71" s="171"/>
      <c r="T71" s="158"/>
    </row>
    <row r="72" spans="1:20" ht="38.25" x14ac:dyDescent="0.2">
      <c r="A72" s="98" t="s">
        <v>237</v>
      </c>
      <c r="B72" s="99" t="s">
        <v>131</v>
      </c>
      <c r="C72" s="100" t="s">
        <v>130</v>
      </c>
      <c r="D72" s="100" t="str">
        <f>UPPER("Produção de vídeo publicitário profissional elaborado por empresa especializada em serviço de design e diagramação de vídeo e publicação, de no mínimo 1 minuto e no máximo 3 minutos de duração.")</f>
        <v>PRODUÇÃO DE VÍDEO PUBLICITÁRIO PROFISSIONAL ELABORADO POR EMPRESA ESPECIALIZADA EM SERVIÇO DE DESIGN E DIAGRAMAÇÃO DE VÍDEO E PUBLICAÇÃO, DE NO MÍNIMO 1 MINUTO E NO MÁXIMO 3 MINUTOS DE DURAÇÃO.</v>
      </c>
      <c r="E72" s="101" t="s">
        <v>30</v>
      </c>
      <c r="F72" s="102">
        <v>1</v>
      </c>
      <c r="G72" s="103"/>
      <c r="H72" s="103">
        <f>ROUND(G72+G72*$H$2,2)</f>
        <v>0</v>
      </c>
      <c r="I72" s="104">
        <f>ROUND(K72*$N$81,2)</f>
        <v>0</v>
      </c>
      <c r="J72" s="104">
        <f t="shared" ref="J72:J73" si="38">K72-I72</f>
        <v>0</v>
      </c>
      <c r="K72" s="103">
        <f>ROUND(F72*H72,2)</f>
        <v>0</v>
      </c>
      <c r="L72" s="105"/>
      <c r="N72" s="128"/>
      <c r="O72" s="176"/>
      <c r="S72" s="170"/>
      <c r="T72" s="158"/>
    </row>
    <row r="73" spans="1:20" ht="25.5" x14ac:dyDescent="0.2">
      <c r="A73" s="98" t="s">
        <v>238</v>
      </c>
      <c r="B73" s="99" t="s">
        <v>132</v>
      </c>
      <c r="C73" s="100" t="s">
        <v>130</v>
      </c>
      <c r="D73" s="100" t="str">
        <f>UPPER("Produção de Press Release profissional elaborado por empresa especializada, de no mínimo 1 e no máximo 2 páginas.")</f>
        <v>PRODUÇÃO DE PRESS RELEASE PROFISSIONAL ELABORADO POR EMPRESA ESPECIALIZADA, DE NO MÍNIMO 1 E NO MÁXIMO 2 PÁGINAS.</v>
      </c>
      <c r="E73" s="101" t="s">
        <v>30</v>
      </c>
      <c r="F73" s="102">
        <v>1</v>
      </c>
      <c r="G73" s="103"/>
      <c r="H73" s="103">
        <f>ROUND(G73+G73*$H$2,2)</f>
        <v>0</v>
      </c>
      <c r="I73" s="104">
        <f>ROUND(K73*$N$81,2)</f>
        <v>0</v>
      </c>
      <c r="J73" s="104">
        <f t="shared" si="38"/>
        <v>0</v>
      </c>
      <c r="K73" s="103">
        <f>ROUND(F73*H73,2)</f>
        <v>0</v>
      </c>
      <c r="L73" s="105"/>
      <c r="N73" s="128"/>
      <c r="O73" s="176"/>
      <c r="S73" s="170"/>
      <c r="T73" s="158"/>
    </row>
    <row r="74" spans="1:20" ht="30" customHeight="1" x14ac:dyDescent="0.2">
      <c r="A74" s="106">
        <v>13</v>
      </c>
      <c r="B74" s="107"/>
      <c r="C74" s="107"/>
      <c r="D74" s="107" t="s">
        <v>248</v>
      </c>
      <c r="E74" s="107"/>
      <c r="F74" s="108"/>
      <c r="G74" s="107"/>
      <c r="H74" s="107"/>
      <c r="I74" s="109">
        <f>SUM(I75:I77)</f>
        <v>0</v>
      </c>
      <c r="J74" s="109">
        <f>SUM(J75:J77)</f>
        <v>0</v>
      </c>
      <c r="K74" s="110">
        <f>SUM(K75:K77)</f>
        <v>0</v>
      </c>
      <c r="L74" s="111" t="e">
        <f>K74/$K$80</f>
        <v>#DIV/0!</v>
      </c>
      <c r="N74" s="128"/>
      <c r="O74" s="176"/>
      <c r="S74" s="171"/>
      <c r="T74" s="158"/>
    </row>
    <row r="75" spans="1:20" x14ac:dyDescent="0.2">
      <c r="A75" s="98" t="s">
        <v>239</v>
      </c>
      <c r="B75" s="99" t="s">
        <v>51</v>
      </c>
      <c r="C75" s="100" t="s">
        <v>16</v>
      </c>
      <c r="D75" s="100" t="s">
        <v>52</v>
      </c>
      <c r="E75" s="101" t="s">
        <v>17</v>
      </c>
      <c r="F75" s="102">
        <v>480</v>
      </c>
      <c r="G75" s="103"/>
      <c r="H75" s="103">
        <f>ROUND(G75+G75*$H$2,2)</f>
        <v>0</v>
      </c>
      <c r="I75" s="104">
        <f>ROUND(K75*$N$81,2)</f>
        <v>0</v>
      </c>
      <c r="J75" s="103">
        <f t="shared" ref="J75:J77" si="39">K75-I75</f>
        <v>0</v>
      </c>
      <c r="K75" s="103">
        <f>ROUND(F75*H75,2)</f>
        <v>0</v>
      </c>
      <c r="L75" s="105"/>
      <c r="N75" s="128"/>
      <c r="O75" s="176"/>
      <c r="S75" s="170"/>
      <c r="T75" s="158"/>
    </row>
    <row r="76" spans="1:20" x14ac:dyDescent="0.2">
      <c r="A76" s="98" t="s">
        <v>240</v>
      </c>
      <c r="B76" s="99" t="s">
        <v>53</v>
      </c>
      <c r="C76" s="100" t="s">
        <v>16</v>
      </c>
      <c r="D76" s="100" t="s">
        <v>54</v>
      </c>
      <c r="E76" s="101" t="s">
        <v>17</v>
      </c>
      <c r="F76" s="102">
        <v>50</v>
      </c>
      <c r="G76" s="103"/>
      <c r="H76" s="103">
        <f>ROUND(G76+G76*$H$2,2)</f>
        <v>0</v>
      </c>
      <c r="I76" s="104">
        <f>ROUND(K76*$N$81,2)</f>
        <v>0</v>
      </c>
      <c r="J76" s="103">
        <f t="shared" ref="J76" si="40">K76-I76</f>
        <v>0</v>
      </c>
      <c r="K76" s="103">
        <f>ROUND(F76*H76,2)</f>
        <v>0</v>
      </c>
      <c r="L76" s="105"/>
      <c r="N76" s="128"/>
      <c r="O76" s="176"/>
      <c r="S76" s="170"/>
      <c r="T76" s="158"/>
    </row>
    <row r="77" spans="1:20" x14ac:dyDescent="0.2">
      <c r="A77" s="113" t="s">
        <v>243</v>
      </c>
      <c r="B77" s="114">
        <v>74000150</v>
      </c>
      <c r="C77" s="115" t="s">
        <v>97</v>
      </c>
      <c r="D77" s="115" t="s">
        <v>244</v>
      </c>
      <c r="E77" s="119" t="s">
        <v>101</v>
      </c>
      <c r="F77" s="116">
        <v>1</v>
      </c>
      <c r="G77" s="117"/>
      <c r="H77" s="117">
        <f>ROUND(G77+G77*$H$2,2)</f>
        <v>0</v>
      </c>
      <c r="I77" s="117">
        <f>ROUND(K77*$N$81,2)</f>
        <v>0</v>
      </c>
      <c r="J77" s="117">
        <f t="shared" si="39"/>
        <v>0</v>
      </c>
      <c r="K77" s="117">
        <f>ROUND(F77*H77,2)</f>
        <v>0</v>
      </c>
      <c r="L77" s="118"/>
      <c r="N77" s="128"/>
      <c r="O77" s="176"/>
      <c r="S77" s="170"/>
      <c r="T77" s="158"/>
    </row>
    <row r="78" spans="1:20" ht="24" customHeight="1" x14ac:dyDescent="0.2">
      <c r="A78" s="120"/>
      <c r="B78" s="121"/>
      <c r="C78" s="120"/>
      <c r="D78" s="120"/>
      <c r="E78" s="122"/>
      <c r="F78" s="123"/>
      <c r="G78" s="124"/>
      <c r="H78" s="124"/>
      <c r="I78" s="124"/>
      <c r="J78" s="124"/>
      <c r="K78" s="124"/>
      <c r="L78" s="125"/>
      <c r="N78" s="239" t="s">
        <v>242</v>
      </c>
      <c r="O78" s="239"/>
    </row>
    <row r="79" spans="1:20" ht="24" customHeight="1" x14ac:dyDescent="0.2">
      <c r="A79" s="242"/>
      <c r="B79" s="243"/>
      <c r="C79" s="243"/>
      <c r="D79" s="243"/>
      <c r="E79" s="243"/>
      <c r="F79" s="243"/>
      <c r="G79" s="243"/>
      <c r="H79" s="244"/>
      <c r="I79" s="251" t="s">
        <v>122</v>
      </c>
      <c r="J79" s="252"/>
      <c r="K79" s="251" t="s">
        <v>123</v>
      </c>
      <c r="L79" s="253"/>
      <c r="N79" s="151" t="s">
        <v>241</v>
      </c>
      <c r="O79" s="151" t="s">
        <v>130</v>
      </c>
    </row>
    <row r="80" spans="1:20" s="62" customFormat="1" ht="21" x14ac:dyDescent="0.2">
      <c r="A80" s="245"/>
      <c r="B80" s="246"/>
      <c r="C80" s="246"/>
      <c r="D80" s="246"/>
      <c r="E80" s="246"/>
      <c r="F80" s="246"/>
      <c r="G80" s="246"/>
      <c r="H80" s="247"/>
      <c r="I80" s="126">
        <f>SUM(I5:I77)/2</f>
        <v>0</v>
      </c>
      <c r="J80" s="126">
        <f>SUM(J5:J77)/2</f>
        <v>0</v>
      </c>
      <c r="K80" s="254">
        <f>SUM(K5:K77)/2</f>
        <v>0</v>
      </c>
      <c r="L80" s="255"/>
      <c r="M80" s="61"/>
      <c r="N80" s="153">
        <f>K80*N81</f>
        <v>0</v>
      </c>
      <c r="O80" s="153">
        <f>K80-N80</f>
        <v>0</v>
      </c>
      <c r="S80" s="174"/>
    </row>
    <row r="81" spans="1:19" s="62" customFormat="1" ht="60" customHeight="1" x14ac:dyDescent="0.2">
      <c r="A81" s="248"/>
      <c r="B81" s="249"/>
      <c r="C81" s="249"/>
      <c r="D81" s="249"/>
      <c r="E81" s="249"/>
      <c r="F81" s="249"/>
      <c r="G81" s="249"/>
      <c r="H81" s="250"/>
      <c r="I81" s="127" t="e">
        <f>I80/$K$80</f>
        <v>#DIV/0!</v>
      </c>
      <c r="J81" s="127" t="e">
        <f>J80/$K$80</f>
        <v>#DIV/0!</v>
      </c>
      <c r="K81" s="256" t="e">
        <f>SUM(L5:L77)</f>
        <v>#DIV/0!</v>
      </c>
      <c r="L81" s="257"/>
      <c r="M81" s="66"/>
      <c r="N81" s="152">
        <v>0.65226532522032532</v>
      </c>
      <c r="O81" s="152" t="e">
        <f>O80/K80</f>
        <v>#DIV/0!</v>
      </c>
      <c r="S81" s="174"/>
    </row>
    <row r="82" spans="1:19" s="62" customFormat="1" x14ac:dyDescent="0.2">
      <c r="A82" s="240" t="s">
        <v>253</v>
      </c>
      <c r="B82" s="240"/>
      <c r="C82" s="240"/>
      <c r="D82" s="240"/>
      <c r="E82" s="240"/>
      <c r="F82" s="240"/>
      <c r="G82" s="240"/>
      <c r="H82" s="240"/>
      <c r="I82" s="240"/>
      <c r="J82" s="240"/>
      <c r="K82" s="240"/>
      <c r="L82" s="240"/>
      <c r="M82" s="61"/>
      <c r="N82" s="61"/>
      <c r="S82" s="174"/>
    </row>
    <row r="83" spans="1:19" s="62" customFormat="1" ht="20.25" customHeight="1" x14ac:dyDescent="0.2">
      <c r="A83" s="61"/>
      <c r="B83" s="61"/>
      <c r="C83" s="61"/>
      <c r="D83" s="61"/>
      <c r="E83" s="61"/>
      <c r="F83" s="61"/>
      <c r="G83" s="61"/>
      <c r="H83" s="61"/>
      <c r="K83" s="87"/>
      <c r="L83" s="61"/>
      <c r="M83" s="61"/>
      <c r="N83" s="238"/>
      <c r="O83" s="238"/>
      <c r="P83" s="238"/>
      <c r="S83" s="174"/>
    </row>
    <row r="84" spans="1:19" ht="15" x14ac:dyDescent="0.2">
      <c r="N84" s="163"/>
      <c r="O84" s="163"/>
      <c r="P84" s="163"/>
    </row>
    <row r="85" spans="1:19" x14ac:dyDescent="0.2">
      <c r="N85" s="164"/>
      <c r="O85" s="164"/>
      <c r="P85" s="164"/>
    </row>
    <row r="86" spans="1:19" s="62" customFormat="1" ht="26.25" customHeight="1" x14ac:dyDescent="0.2">
      <c r="A86" s="61"/>
      <c r="B86" s="61"/>
      <c r="C86" s="67"/>
      <c r="D86" s="67"/>
      <c r="E86" s="67"/>
      <c r="F86" s="67"/>
      <c r="G86" s="68"/>
      <c r="H86" s="69"/>
      <c r="I86" s="68"/>
      <c r="J86" s="70"/>
      <c r="K86" s="70"/>
      <c r="L86" s="61"/>
      <c r="M86" s="61"/>
      <c r="N86" s="165"/>
      <c r="O86" s="165"/>
      <c r="P86" s="166"/>
      <c r="S86" s="174"/>
    </row>
    <row r="87" spans="1:19" s="62" customFormat="1" ht="15" thickBot="1" x14ac:dyDescent="0.25">
      <c r="A87" s="61"/>
      <c r="B87" s="61"/>
      <c r="C87" s="71"/>
      <c r="D87" s="72"/>
      <c r="E87" s="73"/>
      <c r="F87" s="71"/>
      <c r="G87" s="71"/>
      <c r="H87" s="74"/>
      <c r="I87" s="75"/>
      <c r="J87" s="75"/>
      <c r="K87" s="75"/>
      <c r="L87" s="61"/>
      <c r="M87" s="61"/>
      <c r="N87" s="61"/>
      <c r="S87" s="174"/>
    </row>
    <row r="88" spans="1:19" s="62" customFormat="1" ht="15" thickTop="1" x14ac:dyDescent="0.2">
      <c r="A88" s="61"/>
      <c r="B88" s="61"/>
      <c r="C88" s="71"/>
      <c r="D88" s="91" t="s">
        <v>125</v>
      </c>
      <c r="E88" s="73"/>
      <c r="F88" s="71"/>
      <c r="G88" s="71"/>
      <c r="H88" s="74"/>
      <c r="I88" s="241" t="s">
        <v>126</v>
      </c>
      <c r="J88" s="241"/>
      <c r="K88" s="241"/>
      <c r="L88" s="61"/>
      <c r="M88" s="61"/>
      <c r="N88" s="156"/>
      <c r="O88" s="155"/>
      <c r="P88" s="150"/>
      <c r="S88" s="174"/>
    </row>
    <row r="89" spans="1:19" s="62" customFormat="1" x14ac:dyDescent="0.2">
      <c r="A89" s="61"/>
      <c r="B89" s="61"/>
      <c r="C89" s="71"/>
      <c r="D89" s="90"/>
      <c r="E89" s="73"/>
      <c r="F89" s="71"/>
      <c r="G89" s="71"/>
      <c r="H89" s="74"/>
      <c r="I89" s="198"/>
      <c r="J89" s="198"/>
      <c r="K89" s="198"/>
      <c r="L89" s="61"/>
      <c r="M89" s="61"/>
      <c r="N89" s="156"/>
      <c r="O89" s="154"/>
      <c r="S89" s="174"/>
    </row>
    <row r="90" spans="1:19" s="62" customFormat="1" x14ac:dyDescent="0.2">
      <c r="A90" s="61"/>
      <c r="B90" s="61"/>
      <c r="C90" s="77"/>
      <c r="D90" s="90"/>
      <c r="E90" s="90"/>
      <c r="F90" s="78"/>
      <c r="G90" s="78"/>
      <c r="H90" s="79"/>
      <c r="I90" s="198"/>
      <c r="J90" s="198"/>
      <c r="K90" s="198"/>
      <c r="L90" s="84"/>
      <c r="M90" s="61"/>
      <c r="N90" s="156"/>
      <c r="S90" s="174"/>
    </row>
    <row r="91" spans="1:19" s="62" customFormat="1" x14ac:dyDescent="0.2">
      <c r="A91" s="61"/>
      <c r="B91" s="61"/>
      <c r="C91"/>
      <c r="D91"/>
      <c r="E91"/>
      <c r="F91"/>
      <c r="G91"/>
      <c r="H91" s="80"/>
      <c r="I91" s="198"/>
      <c r="J91" s="198"/>
      <c r="K91" s="198"/>
      <c r="L91" s="84"/>
      <c r="M91" s="61"/>
      <c r="N91" s="61"/>
      <c r="S91" s="174"/>
    </row>
  </sheetData>
  <mergeCells count="19">
    <mergeCell ref="N6:N8"/>
    <mergeCell ref="N9:N10"/>
    <mergeCell ref="I91:K91"/>
    <mergeCell ref="N83:P83"/>
    <mergeCell ref="N78:O78"/>
    <mergeCell ref="A82:L82"/>
    <mergeCell ref="I88:K88"/>
    <mergeCell ref="I89:K89"/>
    <mergeCell ref="I90:K90"/>
    <mergeCell ref="A79:H81"/>
    <mergeCell ref="I79:J79"/>
    <mergeCell ref="K79:L79"/>
    <mergeCell ref="K80:L80"/>
    <mergeCell ref="K81:L81"/>
    <mergeCell ref="E1:F1"/>
    <mergeCell ref="I1:L1"/>
    <mergeCell ref="E2:G2"/>
    <mergeCell ref="I2:L2"/>
    <mergeCell ref="A3:L3"/>
  </mergeCells>
  <pageMargins left="0.51181102362204722" right="0.51181102362204722" top="0.98425196850393704" bottom="0.98425196850393704" header="0.51181102362204722" footer="0.51181102362204722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cronograma</vt:lpstr>
      <vt:lpstr>BDI</vt:lpstr>
      <vt:lpstr>ORÇAMENTO_R03</vt:lpstr>
      <vt:lpstr>cronograma!Area_de_impressao</vt:lpstr>
      <vt:lpstr>ORÇAMENTO_R03!Area_de_impressao</vt:lpstr>
      <vt:lpstr>ORÇAMENTO_R03!PLANILHA</vt:lpstr>
      <vt:lpstr>ORÇAMENTO_R03!Titulos_de_impressao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gpp009</cp:lastModifiedBy>
  <cp:revision>0</cp:revision>
  <cp:lastPrinted>2026-05-27T17:49:54Z</cp:lastPrinted>
  <dcterms:created xsi:type="dcterms:W3CDTF">2024-06-10T11:42:28Z</dcterms:created>
  <dcterms:modified xsi:type="dcterms:W3CDTF">2026-06-19T11:00:17Z</dcterms:modified>
</cp:coreProperties>
</file>