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EstaPasta_de_trabalho"/>
  <mc:AlternateContent xmlns:mc="http://schemas.openxmlformats.org/markup-compatibility/2006">
    <mc:Choice Requires="x15">
      <x15ac:absPath xmlns:x15ac="http://schemas.microsoft.com/office/spreadsheetml/2010/11/ac" url="C:\Users\gpp002\OneDrive\PROJETOS\086.2026 - FEHIDRO 2026 - CBH TJ - EEE Água Fria (Proc. 3481-26)\LICITAÇÃO (Proc. 3481-26)\"/>
    </mc:Choice>
  </mc:AlternateContent>
  <bookViews>
    <workbookView xWindow="0" yWindow="0" windowWidth="2160" windowHeight="0" tabRatio="490"/>
  </bookViews>
  <sheets>
    <sheet name="ANEXO IX.1 - ORÇAMENTO" sheetId="15" r:id="rId1"/>
    <sheet name="ANEXO IX.2 - BDI" sheetId="9" r:id="rId2"/>
    <sheet name="ANEXO IX.3 - COMPOSIÇÕES" sheetId="13" r:id="rId3"/>
    <sheet name="ANEXO IX.4 - CRONOGRAMA" sheetId="2" r:id="rId4"/>
  </sheets>
  <externalReferences>
    <externalReference r:id="rId5"/>
  </externalReferences>
  <definedNames>
    <definedName name="AC">#REF!</definedName>
    <definedName name="_xlnm.Print_Area" localSheetId="0">'ANEXO IX.1 - ORÇAMENTO'!$A$1:$M$220</definedName>
    <definedName name="_xlnm.Print_Area" localSheetId="1">'ANEXO IX.2 - BDI'!$A$1:$H$71</definedName>
    <definedName name="_xlnm.Print_Area" localSheetId="2">'ANEXO IX.3 - COMPOSIÇÕES'!$A$1:$H$46</definedName>
    <definedName name="_xlnm.Print_Area" localSheetId="3">'ANEXO IX.4 - CRONOGRAMA'!$A$1:$J$76</definedName>
    <definedName name="BDI.Opcao" hidden="1">[1]DADOS!$F$18</definedName>
    <definedName name="BDI.TipoObra" hidden="1">[1]BDI!$A$138:$A$146</definedName>
    <definedName name="CPU" localSheetId="0">#REF!</definedName>
    <definedName name="CPU">#REF!</definedName>
    <definedName name="DESONERACAO" hidden="1">IF(OR(Import.Desoneracao="DESONERADO",Import.Desoneracao="SIM"),"SIM","NÃO")</definedName>
    <definedName name="DF">#REF!</definedName>
    <definedName name="HTML_CodePage">437</definedName>
    <definedName name="HTML_Control">{"'Armação'!$A$1:$A$2"}</definedName>
    <definedName name="HTML_Description">""</definedName>
    <definedName name="HTML_Email">""</definedName>
    <definedName name="HTML_Header">"Armação"</definedName>
    <definedName name="HTML_LastUpdate">"21/03/98"</definedName>
    <definedName name="HTML_LineAfter">0</definedName>
    <definedName name="HTML_LineBefore">0</definedName>
    <definedName name="HTML_Name">"Gustavo"</definedName>
    <definedName name="HTML_OBDlg2">1</definedName>
    <definedName name="HTML_OBDlg4">1</definedName>
    <definedName name="HTML_OS">0</definedName>
    <definedName name="HTML_PathFile">"C:\Meus Documentos\MeuHTML.htm"</definedName>
    <definedName name="HTML_Title">"Modêlo Tabela de Armação"</definedName>
    <definedName name="Import.Desoneracao" hidden="1">OFFSET([1]DADOS!$G$18,0,-1)</definedName>
    <definedName name="LUCRO">#REF!</definedName>
    <definedName name="PO" localSheetId="0">'ANEXO IX.1 - ORÇAMENTO'!$A$10:$M$206</definedName>
    <definedName name="PO">#REF!</definedName>
    <definedName name="PO_R2">'ANEXO IX.1 - ORÇAMENTO'!$A$10:$M$207</definedName>
    <definedName name="RISCO">#REF!</definedName>
    <definedName name="SG">#REF!</definedName>
    <definedName name="TIP_OBRA">#REF!</definedName>
    <definedName name="_xlnm.Print_Titles" localSheetId="0">'ANEXO IX.1 - ORÇAMENTO'!$1:$9</definedName>
    <definedName name="_xlnm.Print_Titles" localSheetId="1">'ANEXO IX.2 - BDI'!$1:$1</definedName>
    <definedName name="_xlnm.Print_Titles" localSheetId="3">'ANEXO IX.4 - CRONOGRAMA'!$1:$7</definedName>
    <definedName name="VALOR_BDI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209" i="15" l="1"/>
  <c r="R209" i="15"/>
  <c r="Q208" i="15"/>
  <c r="Q209" i="15" s="1"/>
  <c r="B71" i="9" l="1"/>
  <c r="B70" i="9"/>
  <c r="B69" i="9"/>
  <c r="B68" i="9"/>
  <c r="C45" i="13"/>
  <c r="C44" i="13"/>
  <c r="C43" i="13"/>
  <c r="C42" i="13"/>
  <c r="G76" i="2"/>
  <c r="G75" i="2"/>
  <c r="G74" i="2"/>
  <c r="G73" i="2"/>
  <c r="A4" i="2"/>
  <c r="G7" i="15"/>
  <c r="F7" i="15"/>
  <c r="I11" i="15" s="1"/>
  <c r="D51" i="9"/>
  <c r="A10" i="13"/>
  <c r="A7" i="13"/>
  <c r="F29" i="13" l="1"/>
  <c r="H29" i="13" s="1"/>
  <c r="H31" i="13"/>
  <c r="H32" i="13"/>
  <c r="H30" i="13"/>
  <c r="D23" i="13" l="1"/>
  <c r="F22" i="13"/>
  <c r="H22" i="13" s="1"/>
  <c r="F24" i="13"/>
  <c r="H24" i="13" s="1"/>
  <c r="F25" i="13"/>
  <c r="H25" i="13" s="1"/>
  <c r="F26" i="13"/>
  <c r="H27" i="13"/>
  <c r="H33" i="13"/>
  <c r="H26" i="13" l="1"/>
  <c r="H28" i="13"/>
  <c r="G60" i="2" l="1"/>
  <c r="F60" i="2"/>
  <c r="E60" i="2"/>
  <c r="D60" i="2"/>
  <c r="C60" i="2"/>
  <c r="B60" i="2"/>
  <c r="A62" i="9"/>
  <c r="A36" i="13"/>
  <c r="A68" i="2"/>
  <c r="B58" i="2" l="1"/>
  <c r="B56" i="2"/>
  <c r="B54" i="2"/>
  <c r="B52" i="2"/>
  <c r="B50" i="2"/>
  <c r="B48" i="2"/>
  <c r="B46" i="2"/>
  <c r="B44" i="2"/>
  <c r="B42" i="2"/>
  <c r="B40" i="2"/>
  <c r="B38" i="2"/>
  <c r="B36" i="2"/>
  <c r="B34" i="2"/>
  <c r="B32" i="2"/>
  <c r="B30" i="2"/>
  <c r="B28" i="2"/>
  <c r="B26" i="2"/>
  <c r="B24" i="2"/>
  <c r="B22" i="2"/>
  <c r="B20" i="2"/>
  <c r="B18" i="2"/>
  <c r="B16" i="2"/>
  <c r="B14" i="2"/>
  <c r="B12" i="2"/>
  <c r="B10" i="2"/>
  <c r="B8" i="2"/>
  <c r="L59" i="2"/>
  <c r="G58" i="2"/>
  <c r="F58" i="2"/>
  <c r="E58" i="2"/>
  <c r="D58" i="2"/>
  <c r="C58" i="2"/>
  <c r="L57" i="2"/>
  <c r="G56" i="2"/>
  <c r="F56" i="2"/>
  <c r="E56" i="2"/>
  <c r="D56" i="2"/>
  <c r="C56" i="2"/>
  <c r="L55" i="2"/>
  <c r="G54" i="2"/>
  <c r="F54" i="2"/>
  <c r="E54" i="2"/>
  <c r="D54" i="2"/>
  <c r="C54" i="2"/>
  <c r="L53" i="2"/>
  <c r="G52" i="2"/>
  <c r="F52" i="2"/>
  <c r="E52" i="2"/>
  <c r="D52" i="2"/>
  <c r="C52" i="2"/>
  <c r="L51" i="2"/>
  <c r="G50" i="2"/>
  <c r="F50" i="2"/>
  <c r="E50" i="2"/>
  <c r="D50" i="2"/>
  <c r="C50" i="2"/>
  <c r="L49" i="2"/>
  <c r="G48" i="2"/>
  <c r="F48" i="2"/>
  <c r="E48" i="2"/>
  <c r="D48" i="2"/>
  <c r="C48" i="2"/>
  <c r="L47" i="2"/>
  <c r="G46" i="2"/>
  <c r="F46" i="2"/>
  <c r="E46" i="2"/>
  <c r="D46" i="2"/>
  <c r="C46" i="2"/>
  <c r="L45" i="2"/>
  <c r="H44" i="2"/>
  <c r="G44" i="2"/>
  <c r="F44" i="2"/>
  <c r="E44" i="2"/>
  <c r="C44" i="2"/>
  <c r="L43" i="2"/>
  <c r="H42" i="2"/>
  <c r="G42" i="2"/>
  <c r="E42" i="2"/>
  <c r="D42" i="2"/>
  <c r="C42" i="2"/>
  <c r="L41" i="2"/>
  <c r="F40" i="2"/>
  <c r="E40" i="2"/>
  <c r="D40" i="2"/>
  <c r="C40" i="2"/>
  <c r="L39" i="2"/>
  <c r="H38" i="2"/>
  <c r="E38" i="2"/>
  <c r="D38" i="2"/>
  <c r="C38" i="2"/>
  <c r="L37" i="2"/>
  <c r="G36" i="2"/>
  <c r="E36" i="2"/>
  <c r="D36" i="2"/>
  <c r="C36" i="2"/>
  <c r="L35" i="2"/>
  <c r="H34" i="2"/>
  <c r="G34" i="2"/>
  <c r="E34" i="2"/>
  <c r="D34" i="2"/>
  <c r="C34" i="2"/>
  <c r="G32" i="2"/>
  <c r="D32" i="2"/>
  <c r="C32" i="2"/>
  <c r="L31" i="2"/>
  <c r="H30" i="2"/>
  <c r="G30" i="2"/>
  <c r="F30" i="2"/>
  <c r="D30" i="2"/>
  <c r="C30" i="2"/>
  <c r="L29" i="2"/>
  <c r="G28" i="2"/>
  <c r="F28" i="2"/>
  <c r="D28" i="2"/>
  <c r="C28" i="2"/>
  <c r="L27" i="2"/>
  <c r="H26" i="2"/>
  <c r="G26" i="2"/>
  <c r="F26" i="2"/>
  <c r="D26" i="2"/>
  <c r="C26" i="2"/>
  <c r="L25" i="2"/>
  <c r="G24" i="2"/>
  <c r="F24" i="2"/>
  <c r="D24" i="2"/>
  <c r="C24" i="2"/>
  <c r="D168" i="15" l="1"/>
  <c r="D144" i="15"/>
  <c r="D143" i="15"/>
  <c r="D142" i="15"/>
  <c r="D111" i="15"/>
  <c r="D110" i="15"/>
  <c r="D105" i="15"/>
  <c r="D75" i="15"/>
  <c r="D69" i="15"/>
  <c r="H28" i="2" l="1"/>
  <c r="H36" i="2"/>
  <c r="H24" i="2"/>
  <c r="H40" i="2"/>
  <c r="D52" i="9" l="1"/>
  <c r="D14" i="13" l="1"/>
  <c r="F20" i="13"/>
  <c r="H20" i="13" s="1"/>
  <c r="H19" i="13"/>
  <c r="F18" i="13"/>
  <c r="H18" i="13" s="1"/>
  <c r="F17" i="13"/>
  <c r="H17" i="13" s="1"/>
  <c r="I132" i="15" l="1"/>
  <c r="L132" i="15" s="1"/>
  <c r="I129" i="15"/>
  <c r="L129" i="15" s="1"/>
  <c r="I147" i="15"/>
  <c r="L147" i="15" s="1"/>
  <c r="I128" i="15"/>
  <c r="L128" i="15" s="1"/>
  <c r="I141" i="15"/>
  <c r="L141" i="15" s="1"/>
  <c r="I138" i="15"/>
  <c r="L138" i="15" s="1"/>
  <c r="J138" i="15" s="1"/>
  <c r="K138" i="15" s="1"/>
  <c r="I139" i="15"/>
  <c r="L139" i="15" s="1"/>
  <c r="I136" i="15"/>
  <c r="L136" i="15" s="1"/>
  <c r="I140" i="15"/>
  <c r="L140" i="15" s="1"/>
  <c r="I195" i="15"/>
  <c r="L195" i="15" s="1"/>
  <c r="I137" i="15"/>
  <c r="L137" i="15" s="1"/>
  <c r="I134" i="15"/>
  <c r="L134" i="15" s="1"/>
  <c r="J134" i="15" s="1"/>
  <c r="K134" i="15" s="1"/>
  <c r="I135" i="15"/>
  <c r="L135" i="15" s="1"/>
  <c r="I194" i="15"/>
  <c r="L194" i="15" s="1"/>
  <c r="I133" i="15"/>
  <c r="L133" i="15" s="1"/>
  <c r="I130" i="15"/>
  <c r="L130" i="15" s="1"/>
  <c r="J130" i="15" s="1"/>
  <c r="K130" i="15" s="1"/>
  <c r="I131" i="15"/>
  <c r="L131" i="15" s="1"/>
  <c r="H16" i="13"/>
  <c r="L61" i="2"/>
  <c r="J136" i="15" l="1"/>
  <c r="K136" i="15" s="1"/>
  <c r="J133" i="15"/>
  <c r="K133" i="15" s="1"/>
  <c r="J139" i="15"/>
  <c r="K139" i="15" s="1"/>
  <c r="J194" i="15"/>
  <c r="K194" i="15" s="1"/>
  <c r="J129" i="15"/>
  <c r="K129" i="15" s="1"/>
  <c r="J128" i="15"/>
  <c r="K128" i="15" s="1"/>
  <c r="J137" i="15"/>
  <c r="K137" i="15" s="1"/>
  <c r="J147" i="15"/>
  <c r="K147" i="15" s="1"/>
  <c r="J195" i="15"/>
  <c r="K195" i="15" s="1"/>
  <c r="J131" i="15"/>
  <c r="K131" i="15" s="1"/>
  <c r="J135" i="15"/>
  <c r="K135" i="15" s="1"/>
  <c r="J140" i="15"/>
  <c r="K140" i="15" s="1"/>
  <c r="J141" i="15"/>
  <c r="K141" i="15" s="1"/>
  <c r="J132" i="15"/>
  <c r="K132" i="15" s="1"/>
  <c r="H14" i="13"/>
  <c r="H15" i="13"/>
  <c r="H13" i="13" l="1"/>
  <c r="H32" i="2" l="1"/>
  <c r="H23" i="13"/>
  <c r="H21" i="13" s="1"/>
  <c r="I109" i="15" l="1"/>
  <c r="L109" i="15" s="1"/>
  <c r="J109" i="15" l="1"/>
  <c r="K109" i="15" s="1"/>
  <c r="C22" i="2"/>
  <c r="F10" i="2" l="1"/>
  <c r="G10" i="2"/>
  <c r="H10" i="2"/>
  <c r="G22" i="2"/>
  <c r="G12" i="2"/>
  <c r="F22" i="2"/>
  <c r="F20" i="2"/>
  <c r="F12" i="2"/>
  <c r="D29" i="9" l="1"/>
  <c r="D31" i="9" l="1"/>
  <c r="D32" i="9" l="1"/>
  <c r="I205" i="15" l="1"/>
  <c r="L205" i="15" s="1"/>
  <c r="I206" i="15"/>
  <c r="L206" i="15" s="1"/>
  <c r="I151" i="15"/>
  <c r="L151" i="15" s="1"/>
  <c r="I143" i="15"/>
  <c r="L143" i="15" s="1"/>
  <c r="I86" i="15"/>
  <c r="L86" i="15" s="1"/>
  <c r="I83" i="15"/>
  <c r="L83" i="15" s="1"/>
  <c r="I74" i="15"/>
  <c r="L74" i="15" s="1"/>
  <c r="J74" i="15" s="1"/>
  <c r="K74" i="15" s="1"/>
  <c r="I65" i="15"/>
  <c r="L65" i="15" s="1"/>
  <c r="J65" i="15" s="1"/>
  <c r="K65" i="15" s="1"/>
  <c r="I61" i="15"/>
  <c r="L61" i="15" s="1"/>
  <c r="J61" i="15" s="1"/>
  <c r="K61" i="15" s="1"/>
  <c r="I43" i="15"/>
  <c r="L43" i="15" s="1"/>
  <c r="I36" i="15"/>
  <c r="L36" i="15" s="1"/>
  <c r="I34" i="15"/>
  <c r="L34" i="15" s="1"/>
  <c r="J34" i="15" s="1"/>
  <c r="K34" i="15" s="1"/>
  <c r="I25" i="15"/>
  <c r="L25" i="15" s="1"/>
  <c r="I19" i="15"/>
  <c r="L19" i="15" s="1"/>
  <c r="J19" i="15" s="1"/>
  <c r="K19" i="15" s="1"/>
  <c r="I13" i="15"/>
  <c r="L13" i="15" s="1"/>
  <c r="I99" i="15"/>
  <c r="L99" i="15" s="1"/>
  <c r="J99" i="15" s="1"/>
  <c r="K99" i="15" s="1"/>
  <c r="I91" i="15"/>
  <c r="L91" i="15" s="1"/>
  <c r="I81" i="15"/>
  <c r="L81" i="15" s="1"/>
  <c r="I68" i="15"/>
  <c r="L68" i="15" s="1"/>
  <c r="I57" i="15"/>
  <c r="L57" i="15" s="1"/>
  <c r="J57" i="15" s="1"/>
  <c r="K57" i="15" s="1"/>
  <c r="I40" i="15"/>
  <c r="L40" i="15" s="1"/>
  <c r="J40" i="15" s="1"/>
  <c r="K40" i="15" s="1"/>
  <c r="I38" i="15"/>
  <c r="L38" i="15" s="1"/>
  <c r="I17" i="15"/>
  <c r="L17" i="15" s="1"/>
  <c r="I119" i="15"/>
  <c r="L119" i="15" s="1"/>
  <c r="I66" i="15"/>
  <c r="L66" i="15" s="1"/>
  <c r="I64" i="15"/>
  <c r="L64" i="15" s="1"/>
  <c r="I35" i="15"/>
  <c r="L35" i="15" s="1"/>
  <c r="I31" i="15"/>
  <c r="L31" i="15" s="1"/>
  <c r="I28" i="15"/>
  <c r="L28" i="15" s="1"/>
  <c r="I23" i="15"/>
  <c r="L23" i="15" s="1"/>
  <c r="J23" i="15" s="1"/>
  <c r="K23" i="15" s="1"/>
  <c r="I18" i="15"/>
  <c r="L18" i="15" s="1"/>
  <c r="I14" i="15"/>
  <c r="L14" i="15" s="1"/>
  <c r="I12" i="15"/>
  <c r="L12" i="15" s="1"/>
  <c r="I123" i="15"/>
  <c r="L123" i="15" s="1"/>
  <c r="I120" i="15"/>
  <c r="L120" i="15" s="1"/>
  <c r="I67" i="15"/>
  <c r="L67" i="15" s="1"/>
  <c r="I60" i="15"/>
  <c r="L60" i="15" s="1"/>
  <c r="I58" i="15"/>
  <c r="L58" i="15" s="1"/>
  <c r="I89" i="15"/>
  <c r="L89" i="15" s="1"/>
  <c r="I73" i="15"/>
  <c r="L73" i="15" s="1"/>
  <c r="I70" i="15"/>
  <c r="L70" i="15" s="1"/>
  <c r="I21" i="15"/>
  <c r="L21" i="15" s="1"/>
  <c r="I94" i="15"/>
  <c r="L94" i="15" s="1"/>
  <c r="I41" i="15"/>
  <c r="L41" i="15" s="1"/>
  <c r="I15" i="15"/>
  <c r="L15" i="15" s="1"/>
  <c r="I56" i="15"/>
  <c r="L56" i="15" s="1"/>
  <c r="I44" i="15"/>
  <c r="L44" i="15" s="1"/>
  <c r="J44" i="15" s="1"/>
  <c r="K44" i="15" s="1"/>
  <c r="I122" i="15"/>
  <c r="L122" i="15" s="1"/>
  <c r="I80" i="15"/>
  <c r="L80" i="15" s="1"/>
  <c r="I178" i="15"/>
  <c r="L178" i="15" s="1"/>
  <c r="I164" i="15"/>
  <c r="L164" i="15" s="1"/>
  <c r="J164" i="15" s="1"/>
  <c r="K164" i="15" s="1"/>
  <c r="I200" i="15"/>
  <c r="L200" i="15" s="1"/>
  <c r="I172" i="15"/>
  <c r="L172" i="15" s="1"/>
  <c r="I157" i="15"/>
  <c r="L157" i="15" s="1"/>
  <c r="J157" i="15" s="1"/>
  <c r="K157" i="15" s="1"/>
  <c r="I203" i="15"/>
  <c r="L203" i="15" s="1"/>
  <c r="I175" i="15"/>
  <c r="L175" i="15" s="1"/>
  <c r="I202" i="15"/>
  <c r="L202" i="15" s="1"/>
  <c r="I185" i="15"/>
  <c r="L185" i="15" s="1"/>
  <c r="I165" i="15"/>
  <c r="L165" i="15" s="1"/>
  <c r="I117" i="15"/>
  <c r="L117" i="15" s="1"/>
  <c r="J117" i="15" s="1"/>
  <c r="K117" i="15" s="1"/>
  <c r="I118" i="15"/>
  <c r="L118" i="15" s="1"/>
  <c r="I87" i="15"/>
  <c r="L87" i="15" s="1"/>
  <c r="J87" i="15" s="1"/>
  <c r="K87" i="15" s="1"/>
  <c r="I62" i="15"/>
  <c r="L62" i="15" s="1"/>
  <c r="I108" i="15"/>
  <c r="L108" i="15" s="1"/>
  <c r="I84" i="15"/>
  <c r="L84" i="15" s="1"/>
  <c r="I52" i="15"/>
  <c r="L52" i="15" s="1"/>
  <c r="J52" i="15" s="1"/>
  <c r="K52" i="15" s="1"/>
  <c r="I45" i="15"/>
  <c r="L45" i="15" s="1"/>
  <c r="I30" i="15"/>
  <c r="L30" i="15" s="1"/>
  <c r="J30" i="15" s="1"/>
  <c r="K30" i="15" s="1"/>
  <c r="I96" i="15"/>
  <c r="L96" i="15" s="1"/>
  <c r="I24" i="15"/>
  <c r="L24" i="15" s="1"/>
  <c r="I75" i="15"/>
  <c r="L75" i="15" s="1"/>
  <c r="I93" i="15"/>
  <c r="L93" i="15" s="1"/>
  <c r="I107" i="15"/>
  <c r="L107" i="15" s="1"/>
  <c r="I193" i="15"/>
  <c r="L193" i="15" s="1"/>
  <c r="J193" i="15" s="1"/>
  <c r="K193" i="15" s="1"/>
  <c r="I184" i="15"/>
  <c r="L184" i="15" s="1"/>
  <c r="I158" i="15"/>
  <c r="L158" i="15" s="1"/>
  <c r="I162" i="15"/>
  <c r="L162" i="15" s="1"/>
  <c r="I121" i="15"/>
  <c r="L121" i="15" s="1"/>
  <c r="J121" i="15" s="1"/>
  <c r="K121" i="15" s="1"/>
  <c r="I63" i="15"/>
  <c r="L63" i="15" s="1"/>
  <c r="I46" i="15"/>
  <c r="L46" i="15" s="1"/>
  <c r="I22" i="15"/>
  <c r="L22" i="15" s="1"/>
  <c r="I100" i="15"/>
  <c r="L100" i="15" s="1"/>
  <c r="I71" i="15"/>
  <c r="L71" i="15" s="1"/>
  <c r="I98" i="15"/>
  <c r="L98" i="15" s="1"/>
  <c r="I201" i="15"/>
  <c r="L201" i="15" s="1"/>
  <c r="J201" i="15" s="1"/>
  <c r="K201" i="15" s="1"/>
  <c r="I173" i="15"/>
  <c r="L173" i="15" s="1"/>
  <c r="J173" i="15" s="1"/>
  <c r="K173" i="15" s="1"/>
  <c r="I161" i="15"/>
  <c r="L161" i="15" s="1"/>
  <c r="I189" i="15"/>
  <c r="L189" i="15" s="1"/>
  <c r="I163" i="15"/>
  <c r="L163" i="15" s="1"/>
  <c r="I156" i="15"/>
  <c r="L156" i="15" s="1"/>
  <c r="I199" i="15"/>
  <c r="L199" i="15" s="1"/>
  <c r="I171" i="15"/>
  <c r="L171" i="15" s="1"/>
  <c r="I198" i="15"/>
  <c r="L198" i="15" s="1"/>
  <c r="I180" i="15"/>
  <c r="L180" i="15" s="1"/>
  <c r="I142" i="15"/>
  <c r="L142" i="15" s="1"/>
  <c r="J142" i="15" s="1"/>
  <c r="K142" i="15" s="1"/>
  <c r="I114" i="15"/>
  <c r="L114" i="15" s="1"/>
  <c r="I116" i="15"/>
  <c r="L116" i="15" s="1"/>
  <c r="I82" i="15"/>
  <c r="L82" i="15" s="1"/>
  <c r="J82" i="15" s="1"/>
  <c r="K82" i="15" s="1"/>
  <c r="I54" i="15"/>
  <c r="L54" i="15" s="1"/>
  <c r="I106" i="15"/>
  <c r="L106" i="15" s="1"/>
  <c r="I76" i="15"/>
  <c r="L76" i="15" s="1"/>
  <c r="I50" i="15"/>
  <c r="L50" i="15" s="1"/>
  <c r="J50" i="15" s="1"/>
  <c r="K50" i="15" s="1"/>
  <c r="I42" i="15"/>
  <c r="L42" i="15" s="1"/>
  <c r="I27" i="15"/>
  <c r="L27" i="15" s="1"/>
  <c r="I29" i="15"/>
  <c r="L29" i="15" s="1"/>
  <c r="I78" i="15"/>
  <c r="L78" i="15" s="1"/>
  <c r="J78" i="15" s="1"/>
  <c r="K78" i="15" s="1"/>
  <c r="I127" i="15"/>
  <c r="L127" i="15" s="1"/>
  <c r="I77" i="15"/>
  <c r="L77" i="15" s="1"/>
  <c r="I112" i="15"/>
  <c r="L112" i="15" s="1"/>
  <c r="I144" i="15"/>
  <c r="L144" i="15" s="1"/>
  <c r="I154" i="15"/>
  <c r="L154" i="15" s="1"/>
  <c r="I192" i="15"/>
  <c r="L192" i="15" s="1"/>
  <c r="I148" i="15"/>
  <c r="L148" i="15" s="1"/>
  <c r="I115" i="15"/>
  <c r="L115" i="15" s="1"/>
  <c r="I33" i="15"/>
  <c r="L33" i="15" s="1"/>
  <c r="I88" i="15"/>
  <c r="L88" i="15" s="1"/>
  <c r="I190" i="15"/>
  <c r="L190" i="15" s="1"/>
  <c r="I169" i="15"/>
  <c r="L169" i="15" s="1"/>
  <c r="J169" i="15" s="1"/>
  <c r="K169" i="15" s="1"/>
  <c r="I146" i="15"/>
  <c r="L146" i="15" s="1"/>
  <c r="J146" i="15" s="1"/>
  <c r="K146" i="15" s="1"/>
  <c r="I183" i="15"/>
  <c r="L183" i="15" s="1"/>
  <c r="J183" i="15" s="1"/>
  <c r="K183" i="15" s="1"/>
  <c r="I159" i="15"/>
  <c r="L159" i="15" s="1"/>
  <c r="I155" i="15"/>
  <c r="L155" i="15" s="1"/>
  <c r="I187" i="15"/>
  <c r="L187" i="15" s="1"/>
  <c r="I166" i="15"/>
  <c r="L166" i="15" s="1"/>
  <c r="I197" i="15"/>
  <c r="L197" i="15" s="1"/>
  <c r="J197" i="15" s="1"/>
  <c r="K197" i="15" s="1"/>
  <c r="I174" i="15"/>
  <c r="L174" i="15" s="1"/>
  <c r="I125" i="15"/>
  <c r="L125" i="15" s="1"/>
  <c r="J125" i="15" s="1"/>
  <c r="K125" i="15" s="1"/>
  <c r="I150" i="15"/>
  <c r="L150" i="15" s="1"/>
  <c r="J150" i="15" s="1"/>
  <c r="K150" i="15" s="1"/>
  <c r="I152" i="15"/>
  <c r="L152" i="15" s="1"/>
  <c r="I69" i="15"/>
  <c r="L69" i="15" s="1"/>
  <c r="J69" i="15" s="1"/>
  <c r="K69" i="15" s="1"/>
  <c r="I49" i="15"/>
  <c r="L49" i="15" s="1"/>
  <c r="I105" i="15"/>
  <c r="L105" i="15" s="1"/>
  <c r="I59" i="15"/>
  <c r="L59" i="15" s="1"/>
  <c r="I48" i="15"/>
  <c r="L48" i="15" s="1"/>
  <c r="I39" i="15"/>
  <c r="L39" i="15" s="1"/>
  <c r="I149" i="15"/>
  <c r="L149" i="15" s="1"/>
  <c r="I20" i="15"/>
  <c r="L20" i="15" s="1"/>
  <c r="I32" i="15"/>
  <c r="L32" i="15" s="1"/>
  <c r="I79" i="15"/>
  <c r="L79" i="15" s="1"/>
  <c r="I97" i="15"/>
  <c r="L97" i="15" s="1"/>
  <c r="I168" i="15"/>
  <c r="L168" i="15" s="1"/>
  <c r="I177" i="15"/>
  <c r="L177" i="15" s="1"/>
  <c r="I181" i="15"/>
  <c r="L181" i="15" s="1"/>
  <c r="I170" i="15"/>
  <c r="L170" i="15" s="1"/>
  <c r="I92" i="15"/>
  <c r="L92" i="15" s="1"/>
  <c r="J92" i="15" s="1"/>
  <c r="K92" i="15" s="1"/>
  <c r="I101" i="15"/>
  <c r="L101" i="15" s="1"/>
  <c r="I53" i="15"/>
  <c r="L53" i="15" s="1"/>
  <c r="I103" i="15"/>
  <c r="L103" i="15" s="1"/>
  <c r="I196" i="15"/>
  <c r="L196" i="15" s="1"/>
  <c r="I111" i="15"/>
  <c r="L111" i="15" s="1"/>
  <c r="I110" i="15"/>
  <c r="L110" i="15" s="1"/>
  <c r="J103" i="15" l="1"/>
  <c r="K103" i="15" s="1"/>
  <c r="J97" i="15"/>
  <c r="K97" i="15" s="1"/>
  <c r="J192" i="15"/>
  <c r="K192" i="15" s="1"/>
  <c r="J27" i="15"/>
  <c r="K27" i="15" s="1"/>
  <c r="J114" i="15"/>
  <c r="K114" i="15" s="1"/>
  <c r="J189" i="15"/>
  <c r="K189" i="15" s="1"/>
  <c r="J46" i="15"/>
  <c r="K46" i="15" s="1"/>
  <c r="J108" i="15"/>
  <c r="K108" i="15" s="1"/>
  <c r="J175" i="15"/>
  <c r="K175" i="15" s="1"/>
  <c r="J41" i="15"/>
  <c r="K41" i="15" s="1"/>
  <c r="J67" i="15"/>
  <c r="K67" i="15" s="1"/>
  <c r="J31" i="15"/>
  <c r="K31" i="15" s="1"/>
  <c r="J119" i="15"/>
  <c r="K119" i="15" s="1"/>
  <c r="J110" i="15"/>
  <c r="K110" i="15" s="1"/>
  <c r="J181" i="15"/>
  <c r="K181" i="15" s="1"/>
  <c r="J154" i="15"/>
  <c r="K154" i="15" s="1"/>
  <c r="J42" i="15"/>
  <c r="K42" i="15" s="1"/>
  <c r="J71" i="15"/>
  <c r="K71" i="15" s="1"/>
  <c r="J184" i="15"/>
  <c r="K184" i="15" s="1"/>
  <c r="J75" i="15"/>
  <c r="K75" i="15" s="1"/>
  <c r="J62" i="15"/>
  <c r="K62" i="15" s="1"/>
  <c r="J203" i="15"/>
  <c r="K203" i="15" s="1"/>
  <c r="J89" i="15"/>
  <c r="K89" i="15" s="1"/>
  <c r="J18" i="15"/>
  <c r="K18" i="15" s="1"/>
  <c r="J17" i="15"/>
  <c r="K17" i="15" s="1"/>
  <c r="J13" i="15"/>
  <c r="K13" i="15" s="1"/>
  <c r="J36" i="15"/>
  <c r="K36" i="15" s="1"/>
  <c r="J151" i="15"/>
  <c r="K151" i="15" s="1"/>
  <c r="J101" i="15"/>
  <c r="K101" i="15" s="1"/>
  <c r="J32" i="15"/>
  <c r="K32" i="15" s="1"/>
  <c r="J48" i="15"/>
  <c r="K48" i="15" s="1"/>
  <c r="J174" i="15"/>
  <c r="K174" i="15" s="1"/>
  <c r="J155" i="15"/>
  <c r="K155" i="15" s="1"/>
  <c r="J115" i="15"/>
  <c r="K115" i="15" s="1"/>
  <c r="J144" i="15"/>
  <c r="K144" i="15" s="1"/>
  <c r="J180" i="15"/>
  <c r="K180" i="15" s="1"/>
  <c r="J156" i="15"/>
  <c r="K156" i="15" s="1"/>
  <c r="J100" i="15"/>
  <c r="K100" i="15" s="1"/>
  <c r="J24" i="15"/>
  <c r="K24" i="15" s="1"/>
  <c r="J185" i="15"/>
  <c r="K185" i="15" s="1"/>
  <c r="J178" i="15"/>
  <c r="K178" i="15" s="1"/>
  <c r="J56" i="15"/>
  <c r="K56" i="15" s="1"/>
  <c r="J21" i="15"/>
  <c r="K21" i="15" s="1"/>
  <c r="J58" i="15"/>
  <c r="K58" i="15" s="1"/>
  <c r="J123" i="15"/>
  <c r="K123" i="15" s="1"/>
  <c r="J64" i="15"/>
  <c r="K64" i="15" s="1"/>
  <c r="J38" i="15"/>
  <c r="K38" i="15" s="1"/>
  <c r="J81" i="15"/>
  <c r="K81" i="15" s="1"/>
  <c r="J43" i="15"/>
  <c r="K43" i="15" s="1"/>
  <c r="J83" i="15"/>
  <c r="K83" i="15" s="1"/>
  <c r="J206" i="15"/>
  <c r="K206" i="15" s="1"/>
  <c r="J170" i="15"/>
  <c r="K170" i="15" s="1"/>
  <c r="J149" i="15"/>
  <c r="K149" i="15" s="1"/>
  <c r="J105" i="15"/>
  <c r="K105" i="15" s="1"/>
  <c r="J166" i="15"/>
  <c r="K166" i="15" s="1"/>
  <c r="J88" i="15"/>
  <c r="K88" i="15" s="1"/>
  <c r="J77" i="15"/>
  <c r="K77" i="15" s="1"/>
  <c r="J106" i="15"/>
  <c r="K106" i="15" s="1"/>
  <c r="J171" i="15"/>
  <c r="K171" i="15" s="1"/>
  <c r="J98" i="15"/>
  <c r="K98" i="15" s="1"/>
  <c r="J158" i="15"/>
  <c r="K158" i="15" s="1"/>
  <c r="J93" i="15"/>
  <c r="K93" i="15" s="1"/>
  <c r="J200" i="15"/>
  <c r="K200" i="15" s="1"/>
  <c r="J122" i="15"/>
  <c r="K122" i="15" s="1"/>
  <c r="J73" i="15"/>
  <c r="K73" i="15" s="1"/>
  <c r="J14" i="15"/>
  <c r="K14" i="15" s="1"/>
  <c r="J143" i="15"/>
  <c r="K143" i="15" s="1"/>
  <c r="J53" i="15"/>
  <c r="K53" i="15" s="1"/>
  <c r="J79" i="15"/>
  <c r="K79" i="15" s="1"/>
  <c r="J39" i="15"/>
  <c r="K39" i="15" s="1"/>
  <c r="J49" i="15"/>
  <c r="K49" i="15" s="1"/>
  <c r="J187" i="15"/>
  <c r="K187" i="15" s="1"/>
  <c r="J33" i="15"/>
  <c r="K33" i="15" s="1"/>
  <c r="J127" i="15"/>
  <c r="K127" i="15" s="1"/>
  <c r="J54" i="15"/>
  <c r="K54" i="15" s="1"/>
  <c r="J199" i="15"/>
  <c r="K199" i="15" s="1"/>
  <c r="J161" i="15"/>
  <c r="K161" i="15" s="1"/>
  <c r="J63" i="15"/>
  <c r="K63" i="15" s="1"/>
  <c r="J45" i="15"/>
  <c r="K45" i="15" s="1"/>
  <c r="J165" i="15"/>
  <c r="K165" i="15" s="1"/>
  <c r="J94" i="15"/>
  <c r="K94" i="15" s="1"/>
  <c r="J120" i="15"/>
  <c r="K120" i="15" s="1"/>
  <c r="J35" i="15"/>
  <c r="K35" i="15" s="1"/>
  <c r="J68" i="15"/>
  <c r="K68" i="15" s="1"/>
  <c r="J111" i="15"/>
  <c r="K111" i="15" s="1"/>
  <c r="J177" i="15"/>
  <c r="K177" i="15" s="1"/>
  <c r="J196" i="15"/>
  <c r="K196" i="15" s="1"/>
  <c r="J168" i="15"/>
  <c r="K168" i="15" s="1"/>
  <c r="J20" i="15"/>
  <c r="K20" i="15" s="1"/>
  <c r="J59" i="15"/>
  <c r="K59" i="15" s="1"/>
  <c r="J152" i="15"/>
  <c r="K152" i="15" s="1"/>
  <c r="J159" i="15"/>
  <c r="K159" i="15" s="1"/>
  <c r="J190" i="15"/>
  <c r="K190" i="15" s="1"/>
  <c r="J148" i="15"/>
  <c r="K148" i="15" s="1"/>
  <c r="J112" i="15"/>
  <c r="K112" i="15" s="1"/>
  <c r="J29" i="15"/>
  <c r="K29" i="15" s="1"/>
  <c r="J76" i="15"/>
  <c r="K76" i="15" s="1"/>
  <c r="J116" i="15"/>
  <c r="K116" i="15" s="1"/>
  <c r="J198" i="15"/>
  <c r="K198" i="15" s="1"/>
  <c r="J163" i="15"/>
  <c r="K163" i="15" s="1"/>
  <c r="J22" i="15"/>
  <c r="K22" i="15" s="1"/>
  <c r="J162" i="15"/>
  <c r="K162" i="15" s="1"/>
  <c r="J107" i="15"/>
  <c r="K107" i="15" s="1"/>
  <c r="J96" i="15"/>
  <c r="K96" i="15" s="1"/>
  <c r="J84" i="15"/>
  <c r="K84" i="15" s="1"/>
  <c r="J118" i="15"/>
  <c r="K118" i="15" s="1"/>
  <c r="J202" i="15"/>
  <c r="K202" i="15" s="1"/>
  <c r="J172" i="15"/>
  <c r="K172" i="15" s="1"/>
  <c r="J80" i="15"/>
  <c r="K80" i="15" s="1"/>
  <c r="J15" i="15"/>
  <c r="K15" i="15" s="1"/>
  <c r="J70" i="15"/>
  <c r="K70" i="15" s="1"/>
  <c r="J60" i="15"/>
  <c r="K60" i="15" s="1"/>
  <c r="J12" i="15"/>
  <c r="K12" i="15" s="1"/>
  <c r="J28" i="15"/>
  <c r="K28" i="15" s="1"/>
  <c r="J66" i="15"/>
  <c r="K66" i="15" s="1"/>
  <c r="J91" i="15"/>
  <c r="K91" i="15" s="1"/>
  <c r="J25" i="15"/>
  <c r="K25" i="15" s="1"/>
  <c r="J86" i="15"/>
  <c r="K86" i="15" s="1"/>
  <c r="J205" i="15"/>
  <c r="K205" i="15" s="1"/>
  <c r="L191" i="15"/>
  <c r="L204" i="15"/>
  <c r="I60" i="2" s="1"/>
  <c r="H60" i="2" s="1"/>
  <c r="L167" i="15"/>
  <c r="L179" i="15"/>
  <c r="L51" i="15"/>
  <c r="L55" i="15"/>
  <c r="L37" i="15"/>
  <c r="L102" i="15"/>
  <c r="L104" i="15"/>
  <c r="I32" i="2" s="1"/>
  <c r="L182" i="15"/>
  <c r="L95" i="15"/>
  <c r="L90" i="15"/>
  <c r="L85" i="15"/>
  <c r="L124" i="15"/>
  <c r="L186" i="15"/>
  <c r="L145" i="15"/>
  <c r="L153" i="15"/>
  <c r="L126" i="15"/>
  <c r="L26" i="15"/>
  <c r="L113" i="15"/>
  <c r="L188" i="15"/>
  <c r="L72" i="15"/>
  <c r="L176" i="15"/>
  <c r="L47" i="15"/>
  <c r="L160" i="15"/>
  <c r="L16" i="15"/>
  <c r="F32" i="2" l="1"/>
  <c r="I56" i="2"/>
  <c r="H56" i="2" s="1"/>
  <c r="I34" i="2"/>
  <c r="F34" i="2" s="1"/>
  <c r="I42" i="2"/>
  <c r="F42" i="2" s="1"/>
  <c r="I54" i="2"/>
  <c r="H54" i="2" s="1"/>
  <c r="I36" i="2"/>
  <c r="F36" i="2" s="1"/>
  <c r="I26" i="2"/>
  <c r="E26" i="2" s="1"/>
  <c r="I30" i="2"/>
  <c r="E30" i="2" s="1"/>
  <c r="I44" i="2"/>
  <c r="D44" i="2" s="1"/>
  <c r="I52" i="2"/>
  <c r="H52" i="2" s="1"/>
  <c r="I18" i="2"/>
  <c r="I10" i="2"/>
  <c r="I16" i="2"/>
  <c r="I22" i="2"/>
  <c r="I38" i="2"/>
  <c r="I40" i="2"/>
  <c r="G40" i="2" s="1"/>
  <c r="I28" i="2"/>
  <c r="E28" i="2" s="1"/>
  <c r="I20" i="2"/>
  <c r="I50" i="2"/>
  <c r="H50" i="2" s="1"/>
  <c r="I46" i="2"/>
  <c r="H46" i="2" s="1"/>
  <c r="I48" i="2"/>
  <c r="H48" i="2" s="1"/>
  <c r="I12" i="2"/>
  <c r="I24" i="2"/>
  <c r="E24" i="2" s="1"/>
  <c r="I14" i="2"/>
  <c r="E32" i="2" l="1"/>
  <c r="L33" i="2"/>
  <c r="G38" i="2"/>
  <c r="F38" i="2"/>
  <c r="L21" i="2" l="1"/>
  <c r="L23" i="2"/>
  <c r="D22" i="2" l="1"/>
  <c r="D20" i="2"/>
  <c r="E22" i="2" l="1"/>
  <c r="G14" i="2" l="1"/>
  <c r="F14" i="2"/>
  <c r="D10" i="2"/>
  <c r="E10" i="2"/>
  <c r="C10" i="2" l="1"/>
  <c r="G18" i="2"/>
  <c r="E20" i="2"/>
  <c r="L11" i="2"/>
  <c r="L13" i="2"/>
  <c r="L15" i="2"/>
  <c r="L17" i="2"/>
  <c r="L19" i="2"/>
  <c r="L9" i="2"/>
  <c r="F18" i="2" l="1"/>
  <c r="F16" i="2"/>
  <c r="G16" i="2"/>
  <c r="H12" i="2"/>
  <c r="H14" i="2"/>
  <c r="D18" i="2" l="1"/>
  <c r="C18" i="2"/>
  <c r="H16" i="2"/>
  <c r="C16" i="2"/>
  <c r="E16" i="2" l="1"/>
  <c r="E12" i="2" l="1"/>
  <c r="D16" i="2"/>
  <c r="E14" i="2" l="1"/>
  <c r="C14" i="2"/>
  <c r="D12" i="2"/>
  <c r="C12" i="2"/>
  <c r="E18" i="2"/>
  <c r="H18" i="2"/>
  <c r="D14" i="2"/>
  <c r="H22" i="2" l="1"/>
  <c r="G20" i="2"/>
  <c r="C20" i="2" l="1"/>
  <c r="H20" i="2"/>
  <c r="I58" i="2" l="1"/>
  <c r="H58" i="2" l="1"/>
  <c r="L11" i="15"/>
  <c r="J11" i="15" s="1"/>
  <c r="L10" i="15" l="1"/>
  <c r="I8" i="2" s="1"/>
  <c r="K11" i="15"/>
  <c r="L207" i="15" l="1"/>
  <c r="I63" i="2" s="1"/>
  <c r="F8" i="2"/>
  <c r="F63" i="2" s="1"/>
  <c r="D8" i="2"/>
  <c r="D63" i="2" s="1"/>
  <c r="H8" i="2"/>
  <c r="H63" i="2" s="1"/>
  <c r="E8" i="2"/>
  <c r="E63" i="2" s="1"/>
  <c r="G8" i="2"/>
  <c r="G63" i="2" s="1"/>
  <c r="C8" i="2"/>
  <c r="C63" i="2" s="1"/>
  <c r="D64" i="2" l="1"/>
  <c r="G64" i="2"/>
  <c r="E64" i="2"/>
  <c r="F64" i="2"/>
  <c r="H64" i="2"/>
  <c r="M160" i="15"/>
  <c r="J44" i="2" s="1"/>
  <c r="M90" i="15"/>
  <c r="J26" i="2" s="1"/>
  <c r="M102" i="15"/>
  <c r="J30" i="2" s="1"/>
  <c r="M145" i="15"/>
  <c r="J40" i="2" s="1"/>
  <c r="M176" i="15"/>
  <c r="J48" i="2" s="1"/>
  <c r="M37" i="15"/>
  <c r="J14" i="2" s="1"/>
  <c r="M85" i="15"/>
  <c r="J24" i="2" s="1"/>
  <c r="M55" i="15"/>
  <c r="J20" i="2" s="1"/>
  <c r="M72" i="15"/>
  <c r="J22" i="2" s="1"/>
  <c r="M207" i="15"/>
  <c r="M124" i="15"/>
  <c r="J36" i="2" s="1"/>
  <c r="M204" i="15"/>
  <c r="J60" i="2" s="1"/>
  <c r="M95" i="15"/>
  <c r="J28" i="2" s="1"/>
  <c r="M186" i="15"/>
  <c r="J54" i="2" s="1"/>
  <c r="M104" i="15"/>
  <c r="J32" i="2" s="1"/>
  <c r="M153" i="15"/>
  <c r="J42" i="2" s="1"/>
  <c r="M126" i="15"/>
  <c r="J38" i="2" s="1"/>
  <c r="M26" i="15"/>
  <c r="J12" i="2" s="1"/>
  <c r="M191" i="15"/>
  <c r="J58" i="2" s="1"/>
  <c r="M188" i="15"/>
  <c r="J56" i="2" s="1"/>
  <c r="M179" i="15"/>
  <c r="J50" i="2" s="1"/>
  <c r="M167" i="15"/>
  <c r="J46" i="2" s="1"/>
  <c r="M51" i="15"/>
  <c r="J18" i="2" s="1"/>
  <c r="M182" i="15"/>
  <c r="J52" i="2" s="1"/>
  <c r="M113" i="15"/>
  <c r="J34" i="2" s="1"/>
  <c r="M16" i="15"/>
  <c r="J10" i="2" s="1"/>
  <c r="M47" i="15"/>
  <c r="J16" i="2" s="1"/>
  <c r="R210" i="15"/>
  <c r="R211" i="15" s="1"/>
  <c r="M10" i="15"/>
  <c r="J8" i="2" s="1"/>
  <c r="C65" i="2"/>
  <c r="C64" i="2"/>
  <c r="J63" i="2" l="1"/>
  <c r="C66" i="2"/>
  <c r="D65" i="2"/>
  <c r="J95" i="15" l="1"/>
  <c r="K95" i="15"/>
  <c r="K188" i="15"/>
  <c r="J188" i="15"/>
  <c r="J47" i="15"/>
  <c r="K47" i="15"/>
  <c r="J179" i="15"/>
  <c r="K179" i="15"/>
  <c r="K104" i="15"/>
  <c r="J104" i="15"/>
  <c r="K204" i="15"/>
  <c r="J204" i="15"/>
  <c r="K26" i="15"/>
  <c r="J26" i="15"/>
  <c r="K90" i="15"/>
  <c r="J90" i="15"/>
  <c r="K102" i="15"/>
  <c r="J102" i="15"/>
  <c r="K182" i="15"/>
  <c r="J182" i="15"/>
  <c r="J167" i="15"/>
  <c r="K167" i="15"/>
  <c r="J186" i="15"/>
  <c r="K186" i="15"/>
  <c r="J51" i="15"/>
  <c r="K51" i="15"/>
  <c r="K126" i="15"/>
  <c r="J126" i="15"/>
  <c r="K37" i="15"/>
  <c r="J37" i="15"/>
  <c r="K153" i="15"/>
  <c r="J153" i="15"/>
  <c r="J145" i="15"/>
  <c r="K145" i="15"/>
  <c r="K16" i="15"/>
  <c r="J16" i="15"/>
  <c r="K160" i="15"/>
  <c r="J160" i="15"/>
  <c r="K55" i="15"/>
  <c r="J55" i="15"/>
  <c r="J176" i="15"/>
  <c r="K176" i="15"/>
  <c r="K191" i="15"/>
  <c r="J191" i="15"/>
  <c r="J113" i="15"/>
  <c r="K113" i="15"/>
  <c r="K10" i="15"/>
  <c r="J10" i="15"/>
  <c r="K72" i="15"/>
  <c r="J72" i="15"/>
  <c r="J124" i="15"/>
  <c r="K124" i="15"/>
  <c r="K85" i="15"/>
  <c r="J85" i="15"/>
  <c r="D66" i="2"/>
  <c r="E65" i="2"/>
  <c r="J207" i="15" l="1"/>
  <c r="J208" i="15" s="1"/>
  <c r="K207" i="15"/>
  <c r="F65" i="2"/>
  <c r="E66" i="2"/>
  <c r="P210" i="15" l="1"/>
  <c r="P211" i="15" s="1"/>
  <c r="Q210" i="15"/>
  <c r="Q211" i="15" s="1"/>
  <c r="K208" i="15"/>
  <c r="L208" i="15" s="1"/>
  <c r="F66" i="2"/>
  <c r="G65" i="2"/>
  <c r="G66" i="2" l="1"/>
  <c r="H65" i="2"/>
  <c r="H66" i="2" s="1"/>
</calcChain>
</file>

<file path=xl/sharedStrings.xml><?xml version="1.0" encoding="utf-8"?>
<sst xmlns="http://schemas.openxmlformats.org/spreadsheetml/2006/main" count="1204" uniqueCount="549">
  <si>
    <t>BDI</t>
  </si>
  <si>
    <t>1° Quartil</t>
  </si>
  <si>
    <t>Médio</t>
  </si>
  <si>
    <t>CONSTRUÇÃO DE REDES DE ABASTECIMENTO DE ÁGUA, COLETA DE ESGOTO E CONSTRUÇÕES CORRELATAS</t>
  </si>
  <si>
    <t>BDI PARA ITENS DE MERO FORNECIMENTO DE MATERIAIS E EQUIPAMENTOS</t>
  </si>
  <si>
    <t>ADMINISTRAÇÃO CENTRAL</t>
  </si>
  <si>
    <t>RISCO</t>
  </si>
  <si>
    <t>LUCRO</t>
  </si>
  <si>
    <t>OBRA:</t>
  </si>
  <si>
    <t>FONTE:</t>
  </si>
  <si>
    <t>REFORMA E ADEQUAÇÃO DA ESTAÇÃO ELEVATÓRIA DE ESGOTO DE ÁGUA FRIA</t>
  </si>
  <si>
    <t>LOCAL:</t>
  </si>
  <si>
    <t>BDI 1</t>
  </si>
  <si>
    <t>BDI 2</t>
  </si>
  <si>
    <t>BDI 3</t>
  </si>
  <si>
    <t>Fator K</t>
  </si>
  <si>
    <t>DATA BASE:</t>
  </si>
  <si>
    <t>AV. TETRACAMPEONATO, S/N°, CIDADE ARACY, SÃO CARLOS, SP</t>
  </si>
  <si>
    <t>-</t>
  </si>
  <si>
    <t>Item</t>
  </si>
  <si>
    <t>Fonte
(Ref.)</t>
  </si>
  <si>
    <t>Código</t>
  </si>
  <si>
    <t>Descrição</t>
  </si>
  <si>
    <t>UN</t>
  </si>
  <si>
    <t>Qtdd.</t>
  </si>
  <si>
    <t>Custo Unitário
S/ BDI
(R$)</t>
  </si>
  <si>
    <t>Preço Unitário
C/ BDI
(R$)</t>
  </si>
  <si>
    <t>Valor Recurso
FEHIDRO
(R$)</t>
  </si>
  <si>
    <t>Valor
Contrapartida
SAAE
(R$)</t>
  </si>
  <si>
    <t>Preço
TOTAL
(R$)</t>
  </si>
  <si>
    <t>%</t>
  </si>
  <si>
    <t>1.</t>
  </si>
  <si>
    <t>SERVIÇOS PRELIMINARES E CANTEIRO DE OBRAS</t>
  </si>
  <si>
    <t>1.1</t>
  </si>
  <si>
    <t>02.08.050</t>
  </si>
  <si>
    <t>PLACA DE IDENTIFICAÇÃO PARA OBRA EM LONA COM IMPRESSÃO DIGITAL E ESTRUTURA EM MADEIRA</t>
  </si>
  <si>
    <t>m²</t>
  </si>
  <si>
    <t>1.2</t>
  </si>
  <si>
    <t>LOCACAO DE CONTAINER 2,30 X 6,00 M, ALT. 2,50 M, COM 1 SANITARIO, PARA ESCRITÓRIO E DEPÓSITO, COMPLETO, SEM DIVISORIAS INTERNAS</t>
  </si>
  <si>
    <t>mês</t>
  </si>
  <si>
    <t>1.3</t>
  </si>
  <si>
    <t>LIMPEZA MANUAL DE VEGETAÇÃO EM TERRENO COM ENXADA.AF_05/2018</t>
  </si>
  <si>
    <t>1.4</t>
  </si>
  <si>
    <t>03.07.050</t>
  </si>
  <si>
    <t>FRESAGEM DE PAVIMENTO ASFÁLTICO COM ESPESSURA ATÉ 5 CM, INCLUSIVE CARREGAMENTO, TRANSPORTE ATÉ 1 QUILÔMETRO E DESCARREGAMENTO</t>
  </si>
  <si>
    <t>1.5</t>
  </si>
  <si>
    <t>LOCAÇÃO DE PONTO PARA REFERÊNCIA TOPOGRÁFICA. AF_03/2024</t>
  </si>
  <si>
    <t>unid</t>
  </si>
  <si>
    <t>2.</t>
  </si>
  <si>
    <t>2.1</t>
  </si>
  <si>
    <t>REDE DE ESGOTO SANITÁRIO (ES)</t>
  </si>
  <si>
    <t>POÇO DE VISITA CIRCULAR PARA ESGOTO, EM CONCRETO PRÉ-MOLDADO, DIÂMETRO INTERNO = 1,20 M, PROFUNDIDADE CONFORME PROJETO, EXCLUINDO TAMPÃO. AF_12/2020</t>
  </si>
  <si>
    <t>CHAMINÉ CIRCULAR PARA POÇO DE VISITA PARA ESGOTO, EM CONCRETO PRÉ-MOLDADO, DIÂMETRO INTERNO = 0,6 M E ALTURA DE 0,50M. AF_12/2020</t>
  </si>
  <si>
    <t>m</t>
  </si>
  <si>
    <t>JUNTA ARGAMASSADA ENTRE TUBO DN 300 MM E O POÇO DE VISITA/ CAIXA DE CONCRETO OU ALVENARIA. AF_01/2021</t>
  </si>
  <si>
    <t>JUNTA ARGAMASSADA ENTRE TUBO DN 400 MM E O POÇO DE VISITA/ CAIXA DE CONCRETO OU ALVENARIA. AF_01/2021</t>
  </si>
  <si>
    <r>
      <t>CONCRETO FCK = 15MPA, TRAÇO 1:3,4:3,5 (EM MASSA SECA DE CIMENTO/ AREIA MÉDIA/ BRITA 1) - PREPARO MECÂNICO COM BETONEIRA 400 L (</t>
    </r>
    <r>
      <rPr>
        <b/>
        <sz val="10"/>
        <rFont val="Cambria"/>
        <family val="1"/>
      </rPr>
      <t>ELEVAÇÃO DA COTA DE FUNDO DE CX-EXISTENTE</t>
    </r>
    <r>
      <rPr>
        <sz val="10"/>
        <rFont val="Cambria"/>
        <family val="1"/>
      </rPr>
      <t>)</t>
    </r>
  </si>
  <si>
    <t>m³</t>
  </si>
  <si>
    <t>49.06.420</t>
  </si>
  <si>
    <t>TAMPÃO EM FERRO FUNDIDO, DIÂMETRO DE 600 MM, CLASSE D 400 (RUPTURA&gt; 400 KN)</t>
  </si>
  <si>
    <t>ESCAVAÇÃO MECANIZADA DE VALA COM PROF. ATÉ 1,5 M (MÉDIA MONTANTE E JUSANTE/UMA COMPOSIÇÃO POR TRECHO), ESCAVADEIRA (0,8 M3), LARG. MENOR QUE 1,5 M, EM SOLO DE 1A CATEGORIA, EM LOCAIS COM ALTO NÍVEL DE INTERFERÊNCIA. AF_02/2021</t>
  </si>
  <si>
    <t>46.05.070</t>
  </si>
  <si>
    <t>TUBO PVC RÍGIDO OCRE, TIPO COLETOR ESGOTO, JUNTA ELÁSTICA, DN= 300 MM, INCLUSIVE CONEXÕES</t>
  </si>
  <si>
    <t>46.05.090</t>
  </si>
  <si>
    <t>TUBO PVC RÍGIDO OCRE, TIPO COLETOR ESGOTO, JUNTA ELÁSTICA, DN= 400 MM, INCLUSIVE CONEXÕES</t>
  </si>
  <si>
    <t>REATERRO MECANIZADO DE VALA COM RETROESCAVADEIRA (CAPACIDADE DA CAÇAMBA DA RETRO: 0,26 M³/POTÊNCIA: 88 HP), LARGURA ATÉ 0,8 M, PROFUNDIDADE ATÉ 1,5 M, COM SOLO (SEM SUBSTITUIÇÃO) DE 1ª CATEGORIA, COM COMPACTADOR DE SOLOS DE PERCUSSÃO. AF_08/2023</t>
  </si>
  <si>
    <t>HM01964</t>
  </si>
  <si>
    <t>CURVA 45° LONGA PVC RÍGIDO D=400 MM PBJE COLETOR DE ESGOTO</t>
  </si>
  <si>
    <t xml:space="preserve">unid </t>
  </si>
  <si>
    <t>01.23.100</t>
  </si>
  <si>
    <t>DEMOLIÇÃO DE CONCRETO ARMADO COM PRESERVAÇÃO DE ARMADURA, PARA REFORÇO E RECUPERAÇÃO ESTRUTURAL</t>
  </si>
  <si>
    <r>
      <t xml:space="preserve">FABRICAÇÃO DE FÔRMA PARA LAJES, EM CHAPA DE MADEIRA COMPENSADA RESINADA, E = 17 MM. AF_09/2020 - </t>
    </r>
    <r>
      <rPr>
        <b/>
        <sz val="10"/>
        <rFont val="Cambria"/>
        <family val="1"/>
      </rPr>
      <t>(REPARO DA ESTRUTURA DE CONCRETO APÓS RETIRADA)</t>
    </r>
  </si>
  <si>
    <r>
      <t xml:space="preserve">CORTE E DOBRA DE AÇO CA-50, DIÂMETRO DE 8,0 MM. AF_06/2022 - </t>
    </r>
    <r>
      <rPr>
        <b/>
        <sz val="10"/>
        <rFont val="Cambria"/>
        <family val="1"/>
      </rPr>
      <t>(REPARO DA ESTRUTURA DE CONCRETO APÓS RETIRADA)</t>
    </r>
  </si>
  <si>
    <t>kg</t>
  </si>
  <si>
    <t>11.05.030</t>
  </si>
  <si>
    <r>
      <t xml:space="preserve">ARGAMASSA GRAUTE AUTONIVELANTE DE ALTA RESISTÊNCIA - </t>
    </r>
    <r>
      <rPr>
        <b/>
        <sz val="10"/>
        <rFont val="Cambria"/>
        <family val="1"/>
      </rPr>
      <t>(REPARO DA ESTRUTURA DE CONCRETO APÓS RETIRADA)</t>
    </r>
  </si>
  <si>
    <r>
      <t>ADITIVO IMPERMEABILIZANTE CRISTALIZANTE PARA CONCRETO (</t>
    </r>
    <r>
      <rPr>
        <i/>
        <sz val="10"/>
        <rFont val="Cambria"/>
        <family val="1"/>
      </rPr>
      <t>Ref.: XYPEX ou equivalente técnico</t>
    </r>
    <r>
      <rPr>
        <sz val="10"/>
        <rFont val="Cambria"/>
        <family val="1"/>
      </rPr>
      <t xml:space="preserve">) - </t>
    </r>
    <r>
      <rPr>
        <b/>
        <sz val="10"/>
        <rFont val="Cambria"/>
        <family val="1"/>
      </rPr>
      <t>(REPARO DA ESTRUTURA DE CONCRETO APÓS RETIRADA)</t>
    </r>
  </si>
  <si>
    <t>2.2</t>
  </si>
  <si>
    <t>REDE DE ÁGUAS PLUVIAIS (AP)</t>
  </si>
  <si>
    <t>POÇO DE VISITA CIRCULAR PARA DRENAGEM, EM CONCRETO PRÉ-MOLDADO, DIÂMETRO INTERNO = 1,20 M, PROFUNDIDADE CONFORME PROJETO, EXCLUINDO TAMPÃO. AF_05/2021</t>
  </si>
  <si>
    <t>CHAMINÉ CIRCULAR PARA POÇO DE VISITA PARA DRENAGEM, EM CONCRETO PRÉ-MOLDADO, DIÂMETRO INTERNO = 0,6 M E ALTURA DE 0,50M. AF_12/2020</t>
  </si>
  <si>
    <t>JUNTA ARGAMASSADA ENTRE TUBO DN 150 MM E O POÇO DE VISITA/ CAIXA DE CONCRETO OU ALVENARIA. AF_01/2021</t>
  </si>
  <si>
    <t>3.</t>
  </si>
  <si>
    <t>3.1</t>
  </si>
  <si>
    <r>
      <t xml:space="preserve">TRANSPORTE COM CAMINHÃO BASCULANTE DE 14 M³, EM VIA URBANA PAVIMENTADA, DMT ATÉ 30 KM (UNIDADE: M3XKM). AF_07/2020 </t>
    </r>
    <r>
      <rPr>
        <b/>
        <sz val="10"/>
        <rFont val="Cambria"/>
        <family val="1"/>
      </rPr>
      <t>(E=30% | DMT = 8,6KM - DIST. INDUSTRIAL)</t>
    </r>
  </si>
  <si>
    <t>08.01.020</t>
  </si>
  <si>
    <t>ESCORAMENTO DE SOLO CONTÍNUO</t>
  </si>
  <si>
    <t>3.2</t>
  </si>
  <si>
    <t>08.01.040</t>
  </si>
  <si>
    <t>ESCORAMENTO DE SOLO DESCONTÍNUO</t>
  </si>
  <si>
    <t>4.</t>
  </si>
  <si>
    <t>4.1</t>
  </si>
  <si>
    <t>COMPACTAÇÃO MECÂNICA DE SOLO PARA EXECUÇÃO DE RADIER, PISO DE CONCRETO OU LAJE SOBRE SOLO, COM COMPACTADOR DE SOLOS A PERCUSSÃO. AF_09/2021</t>
  </si>
  <si>
    <t>02.10.020</t>
  </si>
  <si>
    <t>LOCAÇÃO DE OBRA</t>
  </si>
  <si>
    <t>LASTRO COM MATERIAL GRANULAR, APLICADO EM PISOS OU LAJES SOBRE SOLO, ESPESSURA DE *5 CM*. AF_08/2017</t>
  </si>
  <si>
    <t>CAMADA SEPARADORA PARA EXECUÇÃO DE RADIER, PISO DE CONCRETO OU LAJE SOBRE SOLO, EM LONA PLÁSTICA EXTRA FORTE PRETA, E = 200 MICRA. AF_09/2021</t>
  </si>
  <si>
    <t>LASTRO DE CONCRETO MAGRO, APLICADO EM PISOS, LAJES SOBRE SOLO OU RADIERS, ESPESSURA DE 3 CM. AF_07/2016</t>
  </si>
  <si>
    <t>FABRICAÇÃO, MONTAGEM E DESMONTAGEM DE FORMA PARA RADIER, PISO DE CONCRETO OU LAJE SOBRE SOLO, EM MADEIRA SERRADA, 4 UTILIZAÇÕES. AF_09/2021</t>
  </si>
  <si>
    <t>09.02.040</t>
  </si>
  <si>
    <t>FORMA PLANA EM COMPENSADO PARA ESTRUTURA APARENTE</t>
  </si>
  <si>
    <t>ESPAÇADORES TIPO CARANGUEJO - CORTE E DOBRA DE AÇO CA-50, DIÂMETRO DE 6,3 MM. AF_06/2022</t>
  </si>
  <si>
    <t>CORTE E DOBRA DE AÇO CA-60, DIÂMETRO DE 5,0 MM. AF_06/2022</t>
  </si>
  <si>
    <t>CORTE E DOBRA DE AÇO CA-50, DIÂMETRO DE 6,3 MM. AF_06/2022</t>
  </si>
  <si>
    <t>CORTE E DOBRA DE AÇO CA-50, DIÂMETRO DE 8,0 MM. AF_06/2022</t>
  </si>
  <si>
    <t>CONCRETO ESTRUTURAL P/ ESTRUTURAS EM CONTATO COM ESGOTO, GASES AGRESSIVOS, AMBIENTE MARÍTIMO E ESTRUTURAS PARA TRATAMENTO DE ÁGUA, FCK = 40,0 MPA, A/C MÁX. 0,45 L/KG - MÍN. DE 360 KG DE CIMENTO/M³</t>
  </si>
  <si>
    <r>
      <t>ADITIVO IMPERMEABILIZANTE CRISTALIZANTE PARA CONCRETO (</t>
    </r>
    <r>
      <rPr>
        <i/>
        <sz val="10"/>
        <rFont val="Cambria"/>
        <family val="1"/>
      </rPr>
      <t>Ref.: XYPEX ou equivalente técnico</t>
    </r>
    <r>
      <rPr>
        <sz val="10"/>
        <rFont val="Cambria"/>
        <family val="1"/>
      </rPr>
      <t>)</t>
    </r>
  </si>
  <si>
    <t>11.16.080</t>
  </si>
  <si>
    <t>4.2</t>
  </si>
  <si>
    <t>HM00600</t>
  </si>
  <si>
    <t>MEDIDOR DE VAZÃO CALHA PARSHALL FIBRA DE VIDRO GARGANTA 6"</t>
  </si>
  <si>
    <t>70140125</t>
  </si>
  <si>
    <t>CALHA PARSHALL EM FIBRA DE VIDRO W ATÉ 6" - MONTAGEM</t>
  </si>
  <si>
    <t>4.3</t>
  </si>
  <si>
    <t>ESTACA BROCA DE CONCRETO, DIÂMETRO DE 20CM, ESCAVAÇÃO MANUAL COM TRADO CONCHA, COM ARMADURA DE ARRANQUE. AF_05/2020</t>
  </si>
  <si>
    <t>FABRICAÇÃO, MONTAGEM E DESMONTAGEM DE FÔRMA PARA VIGA BALDRAME, EM MADEIRA SERRADA, E=25 MM, 4 UTILIZAÇÕES. AF_06/2017</t>
  </si>
  <si>
    <t>11.18.040</t>
  </si>
  <si>
    <t>ARMAÇÃO DE BLOCO, VIGA BALDRAME E SAPATA UTILIZANDO AÇO CA-60 DE 5 MM - MONTAGEM. AF_06/2017</t>
  </si>
  <si>
    <t>ARMAÇÃO DE BLOCO, VIGA BALDRAME OU SAPATA UTILIZANDO AÇO CA-50 DE 8 MM - MONTAGEM. AF_06/2017</t>
  </si>
  <si>
    <t>CONCRETAGEM DE VIGAS BALDRAMES, FCK 30 MPA, COM USO DE BOMBA  LANÇAMENTO, ADENSAMENTO E ACABAMENTO. AF_06/2017</t>
  </si>
  <si>
    <t>ANCORAGEM DE BARRAS DE AÇO - Ø 6,3 MM C/RESINA EPOXÍDICA</t>
  </si>
  <si>
    <t>ANCORAGEM DE BARRAS DE AÇO - Ø 10,0 MM C/RESINA EPOXÍDICA</t>
  </si>
  <si>
    <t>ALVENARIA DE BLOCOS VAZADOS DE CONCRETO DE 19X19X39 CM APARENTE (ESPESSURA 19 CM) E ARGAMASSA DE ASSENTAMENTO COM PREPARO EM BETONEIRA. AF_12/2021</t>
  </si>
  <si>
    <t>CINTA DE AMARRAÇÃO DE ALVENARIA MOLDADA IN LOCO COM UTILIZAÇÃO DE BLOCOS CANALETA ARMADA COM 2 BARRAS DE AÇO CA-50 DE 8,0MM. AF_03/2016</t>
  </si>
  <si>
    <t>ARMAÇÃO VERTICAL DE ALVENARIA ESTRUTURAL; DIÂMETRO DE 10,0 MM. AF_09/2021</t>
  </si>
  <si>
    <t>GRAUTEAMENTO VERTICAL EM ALVENARIA ESTRUTURAL. AF_09/2021 - GRAUTE FGK=20 MPA</t>
  </si>
  <si>
    <t>4.4</t>
  </si>
  <si>
    <t>ALVENARIA DE EMBASAMENTO COM BLOCO ESTRUTURAL DE CERÂMICA, DE 14X19X29CM E ARGAMASSA DE ASSENTAMENTO COM PREPARO EM BETONEIRA. AF_05/2020</t>
  </si>
  <si>
    <t>17.02.030</t>
  </si>
  <si>
    <t>CHAPISCO 1:4 COM AREIA GROSSA</t>
  </si>
  <si>
    <t>17.02.120</t>
  </si>
  <si>
    <t>EMBOÇO COMUM</t>
  </si>
  <si>
    <t>CORRIMÃO SIMPLES, DIÂMETRO EXTERNO = 1 1/2, EM ALUMÍNIO. AF_04/2019_PS</t>
  </si>
  <si>
    <t>4.5</t>
  </si>
  <si>
    <t>06.11.040</t>
  </si>
  <si>
    <t>REATERRO MANUAL APILOADO SEM CONTROLE DE COMPACTAÇÃO</t>
  </si>
  <si>
    <t>LASTRO COM MATERIAL GRANULAR, APLICADO PARA PISOS OU LAJES SOBRE SOLO, ESPESSURA DE *5 CM*. AF_08/2017</t>
  </si>
  <si>
    <t>EXECUÇÃO DE PASSEIO (CALÇADA) OU PISO DE CONCRETO COM CONCRETO MOLDADO IN LOCO, USINADO, ACABAMENTO CONVENCIONAL, ESPESSURA 8 CM, ARMADO COM TELA DE ACO SOLDADA NERVURADA, CA-60, Q-196, (3,11 KG/M2). AF_08/2022</t>
  </si>
  <si>
    <t>4.6</t>
  </si>
  <si>
    <t>COTAÇÃO</t>
  </si>
  <si>
    <t>STOP-LOG - MONTAGEM</t>
  </si>
  <si>
    <t>4.7</t>
  </si>
  <si>
    <r>
      <t xml:space="preserve">FORNECIMENTO E INSTALAÇÃO DE CESTO METÁLICO EM AÇO AISI 317L EM ESTAÇÃO ELEVATÓRIA (FORN E INST CESTO METÁLICO - COMPLETO INCLUSIVE ESTRUTURA P/ FIXAÇÃO), CONFORME ESPECIFICAÇÕES DE PROJETO - </t>
    </r>
    <r>
      <rPr>
        <b/>
        <sz val="10"/>
        <rFont val="Cambria"/>
        <family val="1"/>
      </rPr>
      <t xml:space="preserve">CONFERIR DIMENSÕES E GEOMETRIA </t>
    </r>
    <r>
      <rPr>
        <b/>
        <i/>
        <sz val="10"/>
        <rFont val="Cambria"/>
        <family val="1"/>
      </rPr>
      <t>IN LOCO</t>
    </r>
    <r>
      <rPr>
        <b/>
        <sz val="10"/>
        <rFont val="Cambria"/>
        <family val="1"/>
      </rPr>
      <t xml:space="preserve"> ANTES DA AQUISIÇÃO/MONTAGEM</t>
    </r>
  </si>
  <si>
    <t>GRADE EM AÇO AISI 317L, ESPAÇAMENTO CONFORME ESPECIFICAÇÕES DE PROJETO</t>
  </si>
  <si>
    <t>4.8</t>
  </si>
  <si>
    <t>REATERRO MECANIZADO DE VALA COM ESCAVADEIRA HIDRÁULICA (CAPACIDADE DA CAÇAMBA: 0,8 M³/POTÊNCIA: 111 HP), LARGURA ATÉ 1,5 M, PROFUNDIDADE DE 1,5 A 3,0 M, COM SOLO (SEM SUBSTITUIÇÃO) DE 1ª CATEGORIA, COM COMPACTADOR DE SOLOS DE PERCUSSÃO. AF_08/2023</t>
  </si>
  <si>
    <t>5.</t>
  </si>
  <si>
    <t>5.1</t>
  </si>
  <si>
    <t>01.17.051</t>
  </si>
  <si>
    <t>5.2</t>
  </si>
  <si>
    <t>SAAE</t>
  </si>
  <si>
    <t>S001</t>
  </si>
  <si>
    <t>S002</t>
  </si>
  <si>
    <t>5.3</t>
  </si>
  <si>
    <t>ALÇAPÃO EM GRADE DE AÇO AISI 317L (OU EQUIVALENTE) COM BARRAS DE 2" X 3/8", ESPAÇAMENTO ATÉ 5,0 CM, INCLUINDO QUADRO DE APOIO</t>
  </si>
  <si>
    <t>LASTRO DE CONCRETO MAGRO, APLICADO EM PISOS, LAJES SOBRE SOLO OU RADIERS. AF_08/2017</t>
  </si>
  <si>
    <t>LASTRO DE PEDRA BRITADA</t>
  </si>
  <si>
    <t>ESCADA TIPO MARINHEIRO EM FIBRA DE VIDRO</t>
  </si>
  <si>
    <t>6.</t>
  </si>
  <si>
    <t>INSTALAÇÕES HIDRÁULICAS</t>
  </si>
  <si>
    <t>6.1</t>
  </si>
  <si>
    <r>
      <t xml:space="preserve">TUBOS E CONEXÕES METÁLICOS FLANGEADOS - </t>
    </r>
    <r>
      <rPr>
        <b/>
        <sz val="10"/>
        <rFont val="Cambria"/>
        <family val="1"/>
      </rPr>
      <t>MONTAGEM</t>
    </r>
  </si>
  <si>
    <t>HM06307</t>
  </si>
  <si>
    <t>EXTREMIDADE PONTA - FLANGE PN10 E ABA DE VEDAÇÃO FERRO FUNDIDO DN=300 MM L=700
MM (75,00 KG) PINTURA EPÓXI VERMELHA - ACESSÓRIOS NÃO INCLUSOS NBR 15420 ESGOTO</t>
  </si>
  <si>
    <t>HM06663</t>
  </si>
  <si>
    <t>TOCO COM FLANGES PN10 FERRO FUNDIDO DN=300 MM L=500 MM (76,00 KG) PINTURA EPÓXI
VERMELHA, ACESSÓRIOS NÃO INCLUSOS NBR 15420 ESGOTO</t>
  </si>
  <si>
    <t>HM04167</t>
  </si>
  <si>
    <t>VÁLVULA GAVETA C/FLANGES PN10 FERRO FUNDIDO DN=300 MM (155,00 KG), ACION. CABEÇOTE, CUNHA DE BORRACHA, MÉTRICA CHATA, PINTURA EPÓXI EM PÓ NBR 14968 ÁGUA/ESGOTO</t>
  </si>
  <si>
    <t>HM06803</t>
  </si>
  <si>
    <t>TUBO C/FLANGE PN10 E PONTA FERRO FUNDIDO DN=300 MM L=2.000 MM (132,20 KG) PINTURA
EPÓXI VERMELHA, ACESSÓRIOS NÃO INCLUSOS NBR 15420 ESGOTO</t>
  </si>
  <si>
    <t>HM06297</t>
  </si>
  <si>
    <t>EXTREMIDADE BOLSA JE2GS - FLANGE PN10 FERRO FUNDIDO DN=300 MM L=150 MM (37,60 KG) PINTURA EPÓXI VERMELHA E ANEL DE BORRACHA INCLUSO NBR 15420 ESGOTO</t>
  </si>
  <si>
    <t>HM03162</t>
  </si>
  <si>
    <t>JUNTA DE DESMONTAGEM TRAVADA AXIALMENTE FERRO FUNDIDO DN=300 MM PN10 * (92,00 KG) - PINTURA EPÓXI POLIAMIDA</t>
  </si>
  <si>
    <t>HM06944</t>
  </si>
  <si>
    <t>TUBO C/FLANGES PN10 FERRO FUNDIDO DN=300 MM L=800 MM (93,10 KG) PINTURA EPÓXI
VERMELHA, ACESSÓRIOS NÃO INCLUSOS NBR 15420 ESGOTO</t>
  </si>
  <si>
    <t>HM06933</t>
  </si>
  <si>
    <t>TUBO C/FLANGES PN10 FERRO FUNDIDO DN=250 MM L=900 MM (74,40 KG) PINTURA EPÓXI
VERMELHA, ACESSÓRIOS NÃO INCLUSOS NBR 15420 ESGOTO</t>
  </si>
  <si>
    <t>TUBO C/FLANGES PN10 FERRO FUNDIDO DN=300 MM L=1000 MM (93,10 KG) PINTURA EPÓXI
VERMELHA, ACESSÓRIOS NÃO INCLUSOS NBR 15420 ESGOTO</t>
  </si>
  <si>
    <t>HM06121</t>
  </si>
  <si>
    <t>ACESSÓRIOS PARA FLANGE DN=300 PN10 AÇO INOX 304 D=3/4" X L=3 1/2" 12 CJ (PARAFUSOS,
PORCAS E ARRUELAS) NORMA 0100-400-E027 FL3/3</t>
  </si>
  <si>
    <t>HM07305</t>
  </si>
  <si>
    <t>ARRUELA DE VEDAÇÃO BORRACHA NATURAL NR1087 C/1 LONA E=3MM DE=455MM DI=329MM
P/FLANGE PN10 DN300 FACE PLENA</t>
  </si>
  <si>
    <t>HM06120</t>
  </si>
  <si>
    <t>ACESSÓRIOS PARA FLANGE DN=250 PN10 AÇO INOX 304 D=3/4" X L=3 1/2" 12 CJ (PARAFUSO,
PORCA E ARRUELA) NORMA 0100-400-E027 FL3/3</t>
  </si>
  <si>
    <t>HM07304</t>
  </si>
  <si>
    <t>ARRUELA DE VEDAÇÃO BORRACHA NATURAL NR1087 C/1 LONA E=3MM DE=400MM DI=278MM
P/FLANGE PN10 DN250 FACE PLENA</t>
  </si>
  <si>
    <t>HM06361</t>
  </si>
  <si>
    <t>HASTE DE PROLONGAMENTO C/QUADRADO E BOCA DE CHAVE FERRO TREFILADO D=1.1/8" X L=3,00M (5 KG/M) PINTURA EPÓXI AZUL P/ MANOBRA DE VÁLVULAS</t>
  </si>
  <si>
    <t>6.2</t>
  </si>
  <si>
    <t>46.04.090</t>
  </si>
  <si>
    <t>6.3</t>
  </si>
  <si>
    <t>REMOÇÃO DE TUBULAÇÕES E PEÇAS FLANGEADAS EM GERAL</t>
  </si>
  <si>
    <t>ASSENTAMENTO DE TUBO DE FERRO FUNDIDO, DN 200 MM, JUNTA ELÁSTICA, INSTALADO EM LOCAL COM NÍVEL ALTO DE INTERFERÊNCIAS (NÃO INCLUI FORNECIMENTO). AF_11/2017</t>
  </si>
  <si>
    <t>ASSENTAMENTO DE TUBO DE FERRO FUNDIDO, DN 200 MM, JUNTA FLANGEADA (NÃO INCLUI O FORNECIMENTO). AF_09/2021</t>
  </si>
  <si>
    <t>ASSENTAMENTO DE CONEXÃO COM 3 ACESSOS, FERRO FUNDIDO, DN 200 MM, JUNTA FLANGEADA (NÃO INCLUI O FORNECIMENTO). AF_09/2021</t>
  </si>
  <si>
    <t>ASSENTAMENTO DE CONEXÃO COM 2 ACESSOS, FERRO FUNDIDO, DN 200 MM, JUNTA FLANGEADA (NÃO INCLUI O FORNECIMENTO). AF_09/2021</t>
  </si>
  <si>
    <t>CAIXA ENTERRADA HIDRÁULICA RETANGULAR, EM ALVENARIA COM BLOCOS DE CONCRETO, DIMENSÕES INTERNAS: 0,6X0,6X0,6 M PARA REDE DE DRENAGEM. AF_12/2020</t>
  </si>
  <si>
    <t>CANALETA MEIA CANA PRÉ-MOLDADA DE CONCRETO (D = 20 CM) - FORNECIMENTO E INSTALAÇÃO. AF_08/2021</t>
  </si>
  <si>
    <t>GRELHA DE FERRO FUNDIDO SIMPLES COM REQUADRO, 200 X 1000 MM, ASSENTADA COM ARGAMASSA 1 : 3 CIMENTO: AREIA - FORNECIMENTO E INSTALAÇÃO. AF_08/2021</t>
  </si>
  <si>
    <t>TUBO PVC, SÉRIE R, ÁGUA PLUVIAL, DN 150 MM, FORNECIDO E INSTALADO EM RAMAL DE ENCAMINHAMENTO. AF_06/2022</t>
  </si>
  <si>
    <t>JOELHO 45 GRAUS, PVC, SERIE R, ÁGUA PLUVIAL, DN 150 MM, JUNTA ELÁSTICA, FORNECIDO E INSTALADO EM RAMAL DE ENCAMINHAMENTO. AF_06/2022</t>
  </si>
  <si>
    <t>46.01.020</t>
  </si>
  <si>
    <t>44.03.380</t>
  </si>
  <si>
    <t>7.</t>
  </si>
  <si>
    <t>7.1</t>
  </si>
  <si>
    <t>70090090</t>
  </si>
  <si>
    <t>PREPARO DE CAIXA</t>
  </si>
  <si>
    <r>
      <t xml:space="preserve">SUB-BASE EM BRITA OU MACADAME HIDRÁULICO (B) - </t>
    </r>
    <r>
      <rPr>
        <b/>
        <sz val="10"/>
        <rFont val="Cambria"/>
        <family val="1"/>
      </rPr>
      <t>ESP 15CM</t>
    </r>
  </si>
  <si>
    <t>54.03.230</t>
  </si>
  <si>
    <t>IMPRIMAÇÃO BETUMINOSA LIGANTE, RR-1-C</t>
  </si>
  <si>
    <r>
      <t xml:space="preserve">RECOMPOSIÇÃO DE REVESTIMENTO EM CONCRETO ASFÁLTICO (AQUISIÇÃO EM USINA), PARA O FECHAMENTO DE VALAS. AF_12/2020 - </t>
    </r>
    <r>
      <rPr>
        <b/>
        <sz val="10"/>
        <rFont val="Cambria"/>
        <family val="1"/>
      </rPr>
      <t>ESP 5CM</t>
    </r>
  </si>
  <si>
    <t>CARGA, MANOBRA E DESCARGA DE SOLOS E MATERIAIS GRANULARES EM CAMINHÃO BASCULANTE 14 M³ - CARGA COM ESCAVADEIRA HIDRÁULICA (CAÇAMBA DE 1,20 M³ / 155 HP) E DESCARGA LIVRE (UNIDADE: M3). AF_07/2020</t>
  </si>
  <si>
    <t>TRANSPORTE COM CAMINHÃO BASCULANTE DE 14 M³, EM VIA URBANA PAVIMENTADA, DMT ATÉ 30 KM (UNIDADE: M3XKM). AF_07/2020</t>
  </si>
  <si>
    <t>m³/km</t>
  </si>
  <si>
    <t>7.2</t>
  </si>
  <si>
    <t>PAVIMENTAÇÃO INTERNA</t>
  </si>
  <si>
    <t>54.01.010</t>
  </si>
  <si>
    <t>EXECUÇÃO DE PAVIMENTO EM PISO INTERTRAVADO, COM BLOCO 16 FACES DE 22 X 11 CM, ESPESSURA 6 CM. AF_10/2022</t>
  </si>
  <si>
    <t>TRANSPORTE COM CAMINHÃO BASCULANTE DE 18 M³, EM VIA URBANA PAVIMENTADA, DMT ATÉ 30 KM (UNIDADE: M3XKM). AF_07/2020</t>
  </si>
  <si>
    <r>
      <t xml:space="preserve">ALVENARIA DE EMBASAMENTO COM BLOCO ESTRUTURAL DE CONCRETO, DE 14X19X29CM E ARGAMASSA DE ASSENTAMENTO COM PREPARO EM BETONEIRA. AF_05/2020 </t>
    </r>
    <r>
      <rPr>
        <b/>
        <sz val="10"/>
        <rFont val="Cambria"/>
        <family val="1"/>
      </rPr>
      <t>(MURETA H=20CM)</t>
    </r>
  </si>
  <si>
    <t>17.02.020</t>
  </si>
  <si>
    <r>
      <t xml:space="preserve">CHAPISCO - </t>
    </r>
    <r>
      <rPr>
        <b/>
        <sz val="10"/>
        <rFont val="Cambria"/>
        <family val="1"/>
      </rPr>
      <t>(MURETA H=20CM)</t>
    </r>
  </si>
  <si>
    <t>17.02.220</t>
  </si>
  <si>
    <r>
      <t xml:space="preserve">REBOCO - </t>
    </r>
    <r>
      <rPr>
        <b/>
        <sz val="10"/>
        <rFont val="Cambria"/>
        <family val="1"/>
      </rPr>
      <t>(MURETA H=20CM)</t>
    </r>
  </si>
  <si>
    <t>14.20.010</t>
  </si>
  <si>
    <t>PILARETES DE CONCRETO ARMADO D=20CM (ARMADURA: 4 BARRAS D=10mm, ESTRIBOS D-5mm C/ 15cm)</t>
  </si>
  <si>
    <t>ENCHIMENTO DE BRITA, LANÇAMENTO MANUAL. AF_07/2021</t>
  </si>
  <si>
    <t>8.</t>
  </si>
  <si>
    <t>8.1</t>
  </si>
  <si>
    <t>APLICAÇÃO DE FUNDO SELADOR ACRÍLICO EM PAREDES, UMA DEMÃO. AF_06/2014</t>
  </si>
  <si>
    <r>
      <t xml:space="preserve">TEXTURA ACRÍLICA, APLICAÇÃO MANUAL EM PAREDE, UMA DEMÃO. AF_09/2016 </t>
    </r>
    <r>
      <rPr>
        <b/>
        <sz val="10"/>
        <rFont val="Cambria"/>
        <family val="1"/>
      </rPr>
      <t>(</t>
    </r>
    <r>
      <rPr>
        <b/>
        <i/>
        <sz val="10"/>
        <rFont val="Cambria"/>
        <family val="1"/>
      </rPr>
      <t>h~3,50m</t>
    </r>
    <r>
      <rPr>
        <b/>
        <sz val="10"/>
        <rFont val="Cambria"/>
        <family val="1"/>
      </rPr>
      <t>) - COR: AZUL CIANO</t>
    </r>
  </si>
  <si>
    <t>8.2</t>
  </si>
  <si>
    <r>
      <t xml:space="preserve">APLICAÇÃO MANUAL DE PINTURA COM TINTA LÁTEX ACRÍLICA PREMIUM, EM PAREDES, DUAS DEMÃOS. AF_06/2014 - </t>
    </r>
    <r>
      <rPr>
        <b/>
        <sz val="10"/>
        <rFont val="Cambria"/>
        <family val="1"/>
      </rPr>
      <t>COR: BRANCO FOSCO</t>
    </r>
  </si>
  <si>
    <t>8.3</t>
  </si>
  <si>
    <t>8.4</t>
  </si>
  <si>
    <r>
      <t xml:space="preserve">PINTURA DE PISO COM TINTA ACRÍLICA PREMIUM PARA PISO, APLICAÇÃO MANUAL, 2 DEMÃOS, INCLUSO FUNDO PREPARADOR. AF_05/2021 - </t>
    </r>
    <r>
      <rPr>
        <b/>
        <sz val="10"/>
        <rFont val="Cambria"/>
        <family val="1"/>
      </rPr>
      <t>COR: CINZA</t>
    </r>
  </si>
  <si>
    <t>8.5</t>
  </si>
  <si>
    <t>LIXAMENTO MANUAL EM SUPERFÍCIES METÁLICAS EM OBRA. AF_01/2020</t>
  </si>
  <si>
    <r>
      <t xml:space="preserve">PINTURA COM TINTA ALQUÍDICA DE ACABAMENTO (ESMALTE SINTÉTICO ACETINADO) PULVERIZADA SOBRE SUPERFÍCIES METÁLICAS (EXCETO PERFIL) EXECUTADO EM OBRA (POR DEMÃO). AF_01/2020_PE - </t>
    </r>
    <r>
      <rPr>
        <b/>
        <sz val="10"/>
        <rFont val="Cambria"/>
        <family val="1"/>
      </rPr>
      <t>COR: BRANCO FOSCO</t>
    </r>
  </si>
  <si>
    <t>8.6</t>
  </si>
  <si>
    <t>PINTURA DE SÍMBOLOS E TEXTOS COM TINTA ACRÍLICA, DEMARCAÇÃO COM FITA ADESIVA E APLICAÇÃO COM ROLO E/OU PINCEL. AF_05/2021 - CONFORME EXISTENTE NO LOCAL</t>
  </si>
  <si>
    <t>SERVIÇOS COMPLEMENTARES</t>
  </si>
  <si>
    <t>9.1</t>
  </si>
  <si>
    <t>INSTALAÇÃO DE CONCERTINA DUPLA CLIPADA, ESPIRAL DE 300 MM. AF_03/2024</t>
  </si>
  <si>
    <t>9.2</t>
  </si>
  <si>
    <t>COTADO</t>
  </si>
  <si>
    <t>9.3</t>
  </si>
  <si>
    <t>9.4</t>
  </si>
  <si>
    <r>
      <t xml:space="preserve">ALÇAPÃO EM GRADE DE AÇO AISI 317L (OU EQUIVALENTE) COM BARRAS DE 2" X 3/8", ESPAÇAMENTO ATÉ 5,0 CM, INCLUINDO QUADRO DE APOIO </t>
    </r>
    <r>
      <rPr>
        <b/>
        <sz val="10"/>
        <rFont val="Cambria"/>
        <family val="1"/>
      </rPr>
      <t>(POÇO DE SUCÇÃO, CONFORME PADRÃO EXISTENTE)</t>
    </r>
  </si>
  <si>
    <r>
      <t xml:space="preserve">ALÇAPÃO EM GRADE DE AÇO AISI 317L (OU EQUIVALENTE) COM BARRAS DE 2" X 3/8", ESPAÇAMENTO ATÉ 5,0 CM, INCLUINDO QUADRO DE APOIO </t>
    </r>
    <r>
      <rPr>
        <b/>
        <sz val="10"/>
        <rFont val="Cambria"/>
        <family val="1"/>
      </rPr>
      <t>(CAIXA DE CHEGADA DO EFLUENTE, CONFORME PADRÃO EXISTENTE)</t>
    </r>
  </si>
  <si>
    <r>
      <t xml:space="preserve">REBOCO </t>
    </r>
    <r>
      <rPr>
        <b/>
        <sz val="10"/>
        <rFont val="Cambria"/>
        <family val="1"/>
      </rPr>
      <t>(MURETA FACHADA)</t>
    </r>
  </si>
  <si>
    <r>
      <t xml:space="preserve">APLICAÇÃO DE FUNDO SELADOR ACRÍLICO EM PAREDES, UMA DEMÃO. AF_06/2014 </t>
    </r>
    <r>
      <rPr>
        <b/>
        <sz val="10"/>
        <rFont val="Cambria"/>
        <family val="1"/>
      </rPr>
      <t>(MURETA FACHADA)</t>
    </r>
  </si>
  <si>
    <r>
      <t xml:space="preserve">TEXTURA ACRÍLICA, APLICAÇÃO MANUAL EM PAREDE, UMA DEMÃO. AF_09/2016 </t>
    </r>
    <r>
      <rPr>
        <b/>
        <sz val="10"/>
        <rFont val="Cambria"/>
        <family val="1"/>
      </rPr>
      <t xml:space="preserve">(MURETA FACHADA) - COR: AZUL CIANO </t>
    </r>
  </si>
  <si>
    <t>REMOÇÃO DE ALAMBRADOS ESTRUTURADO POR TUBOS DE AÇO GALVANIZADO, COM TELA DE ARAME GALVANIZADO, DE FORMA MANUAL, SEM REAPROVEITAMENTO. AF_09/2023 - h=1,50m</t>
  </si>
  <si>
    <t>34.05.310</t>
  </si>
  <si>
    <r>
      <t xml:space="preserve">GRADIL DE FERRO PERFILADO, TIPO PARQUE (FORNECIMENTO E INSTALAÇÃO) - </t>
    </r>
    <r>
      <rPr>
        <b/>
        <sz val="10"/>
        <rFont val="Cambria"/>
        <family val="1"/>
      </rPr>
      <t>H=1,80M</t>
    </r>
  </si>
  <si>
    <t>PINTURA COM TINTA ALQUÍDICA DE FUNDO (TIPO ZARCÃO) PULVERIZADA SOBRE PERFIL METÁLICO EXECUTADO EM FÁBRICA (POR DEMÃO). AF_01/2020_PE</t>
  </si>
  <si>
    <r>
      <t xml:space="preserve">PINTURA COM TINTA ALQUÍDICA DE ACABAMENTO (ESMALTE SINTÉTICO FOSCO) PULVERIZADA SOBRE PERFIL METÁLICO EXECUTADO EM FÁBRICA (POR DEMÃO). AF_01/2020_PE - </t>
    </r>
    <r>
      <rPr>
        <b/>
        <sz val="10"/>
        <rFont val="Cambria"/>
        <family val="1"/>
      </rPr>
      <t>COR: BRANCO FOSCO</t>
    </r>
  </si>
  <si>
    <t xml:space="preserve">T O T A L   G E R A L : </t>
  </si>
  <si>
    <t>EXECUÇÃO DE LIGAÇÃO PROVISÓRIA AO POÇO DE SUCÇÃO</t>
  </si>
  <si>
    <t>2.3</t>
  </si>
  <si>
    <t>2.4</t>
  </si>
  <si>
    <t>2.5</t>
  </si>
  <si>
    <t>2.6</t>
  </si>
  <si>
    <t>2.7</t>
  </si>
  <si>
    <t>2.8</t>
  </si>
  <si>
    <t>2.9</t>
  </si>
  <si>
    <t>3.3</t>
  </si>
  <si>
    <t>3.4</t>
  </si>
  <si>
    <t>3.5</t>
  </si>
  <si>
    <t>3.6</t>
  </si>
  <si>
    <t>3.7</t>
  </si>
  <si>
    <t>3.8</t>
  </si>
  <si>
    <t>3.9</t>
  </si>
  <si>
    <t>3.10</t>
  </si>
  <si>
    <t>4.9</t>
  </si>
  <si>
    <t xml:space="preserve">ESCAVAÇÃO: TRATAMENTO PRELIMINAR
</t>
  </si>
  <si>
    <r>
      <t xml:space="preserve">ESCAVAÇÃO VERTICAL PARA INFRAESTRUTURA, COM CARGA, DESCARGA E TRANSPORTE DE SOLO DE 1ª CATEGORIA, COM ESCAVADEIRA HIDRÁULICA (CAÇAMBA: 0,8 M³ / 111 HP), FROTA DE 3 CAMINHÕES BASCULANTES DE 14 M³, DMT ATÉ 1 KM E VELOCIDADE MÉDIA14 KM/H. AF_05/2020 </t>
    </r>
    <r>
      <rPr>
        <b/>
        <sz val="10"/>
        <rFont val="Cambria"/>
        <family val="1"/>
      </rPr>
      <t>(REATERRO: Ver item 12.1 da Planilha Orçamentária)</t>
    </r>
  </si>
  <si>
    <t xml:space="preserve">ESCAVAÇÃO: TANQUES PULMÃO
</t>
  </si>
  <si>
    <r>
      <t xml:space="preserve">ESCAVAÇÃO VERTICAL PARA INFRAESTRUTURA, COM CARGA, DESCARGA E TRANSPORTE DE SOLO DE 1ª CATEGORIA, COM ESCAVADEIRA HIDRÁULICA (CAÇAMBA: 0,8 M³ / 111 HP), FROTA DE 3 CAMINHÕES BASCULANTES DE 14 M³, DMT ATÉ 1 KM E VELOCIDADE MÉDIA14 KM/H. AF_05/2020 </t>
    </r>
    <r>
      <rPr>
        <b/>
        <sz val="10"/>
        <rFont val="Cambria"/>
        <family val="1"/>
      </rPr>
      <t>(REATERRO: Ver item 15.1 da Planilha Orçamentária)</t>
    </r>
  </si>
  <si>
    <t>ESTRUTURA DE CONCRETO: TRATAMENTO PRELIMINAR (EEE)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</si>
  <si>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</si>
  <si>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</si>
  <si>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</si>
  <si>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</si>
  <si>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</si>
  <si>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</si>
  <si>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</si>
  <si>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</si>
  <si>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</si>
  <si>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</si>
  <si>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</si>
  <si>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</si>
  <si>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</si>
  <si>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7.16</t>
  </si>
  <si>
    <t>MURO DE ARRIMO: TRATAMENTO PRELIMINAR (EEE)</t>
  </si>
  <si>
    <t>8.7</t>
  </si>
  <si>
    <t>8.8</t>
  </si>
  <si>
    <t>8.9</t>
  </si>
  <si>
    <t>8.10</t>
  </si>
  <si>
    <t>8.11</t>
  </si>
  <si>
    <t>8.12</t>
  </si>
  <si>
    <t>ESCADAS DE ACESSO: TRATAMENTO PRELIMINAR (EEE)</t>
  </si>
  <si>
    <t>PISO DE CONCRETO: TRATAMENTO PRELIMINAR (EEE)</t>
  </si>
  <si>
    <t>10.1</t>
  </si>
  <si>
    <t>10.2</t>
  </si>
  <si>
    <t>10.3</t>
  </si>
  <si>
    <t>10.4</t>
  </si>
  <si>
    <t>ACESSÓRIOS: TRATAMENTO PRELIMINAR (EEE)</t>
  </si>
  <si>
    <t>11.1</t>
  </si>
  <si>
    <t>11.2</t>
  </si>
  <si>
    <t>11.3</t>
  </si>
  <si>
    <t>11.4</t>
  </si>
  <si>
    <t>11.5</t>
  </si>
  <si>
    <t>11.6</t>
  </si>
  <si>
    <t>REATERRO COMPACTADO: TRATAMENTO PRELIMINAR (EEE)</t>
  </si>
  <si>
    <t>12.1</t>
  </si>
  <si>
    <t xml:space="preserve">TANQUES PULMÃO
</t>
  </si>
  <si>
    <t>13.1</t>
  </si>
  <si>
    <t>13.2</t>
  </si>
  <si>
    <t>13.3</t>
  </si>
  <si>
    <t>13.4</t>
  </si>
  <si>
    <t>13.5</t>
  </si>
  <si>
    <t>13.6</t>
  </si>
  <si>
    <t>13.7</t>
  </si>
  <si>
    <t>13.8</t>
  </si>
  <si>
    <t xml:space="preserve">CAIXAS PARA VÁLVULAS DE MANOBRA: TANQUES PULMÃO
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</si>
  <si>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</si>
  <si>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</si>
  <si>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</si>
  <si>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</si>
  <si>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</si>
  <si>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</si>
  <si>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</si>
  <si>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</si>
  <si>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</si>
  <si>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</si>
  <si>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REATERRO COMPACTADO: TANQUES PULMÃO</t>
  </si>
  <si>
    <t>15.1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</si>
  <si>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</si>
  <si>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</si>
  <si>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</si>
  <si>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</si>
  <si>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</si>
  <si>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</si>
  <si>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</si>
  <si>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</si>
  <si>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</si>
  <si>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16.10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</si>
  <si>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</si>
  <si>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</si>
  <si>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</si>
  <si>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</si>
  <si>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</si>
  <si>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</si>
  <si>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</si>
  <si>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</si>
  <si>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LINHA DE RECALQUE (EEE)</t>
  </si>
  <si>
    <t>17.1</t>
  </si>
  <si>
    <t>17.2</t>
  </si>
  <si>
    <t>17.3</t>
  </si>
  <si>
    <t>17.4</t>
  </si>
  <si>
    <t>17.5</t>
  </si>
  <si>
    <t>17.6</t>
  </si>
  <si>
    <t>17.7</t>
  </si>
  <si>
    <t>DRENAGEM INTERNA (EEE)</t>
  </si>
  <si>
    <t>18.1</t>
  </si>
  <si>
    <t>18.2</t>
  </si>
  <si>
    <t>18.3</t>
  </si>
  <si>
    <t>18.4</t>
  </si>
  <si>
    <t>18.5</t>
  </si>
  <si>
    <t>18.6</t>
  </si>
  <si>
    <t>PAVIMENTAÇÃO EXTERNA</t>
  </si>
  <si>
    <t>19.1</t>
  </si>
  <si>
    <t>19.2</t>
  </si>
  <si>
    <t>19.3</t>
  </si>
  <si>
    <t>19.4</t>
  </si>
  <si>
    <t>19.5</t>
  </si>
  <si>
    <t>19.6</t>
  </si>
  <si>
    <t>20.1</t>
  </si>
  <si>
    <t>20.2</t>
  </si>
  <si>
    <t>20.3</t>
  </si>
  <si>
    <t>20.4</t>
  </si>
  <si>
    <t>20.5</t>
  </si>
  <si>
    <t>20.6</t>
  </si>
  <si>
    <t>20.7</t>
  </si>
  <si>
    <t>20.8</t>
  </si>
  <si>
    <t>PINTURA CABINE DE OPERAÇÕES: PAREDES EXTERNAS</t>
  </si>
  <si>
    <t>21.1</t>
  </si>
  <si>
    <t>21.2</t>
  </si>
  <si>
    <t>PINTURA CABINE DE OPERAÇÕES: PAREDES INTERNAS</t>
  </si>
  <si>
    <t>22.1</t>
  </si>
  <si>
    <t>22.2</t>
  </si>
  <si>
    <t>PINTURA CABINE DE OPERAÇÕES: PLATIBANDA</t>
  </si>
  <si>
    <t>23.1</t>
  </si>
  <si>
    <t>23.2</t>
  </si>
  <si>
    <t>23.3</t>
  </si>
  <si>
    <t>PINTURA CABINE DE OPERAÇÕES: PISO INTERNO</t>
  </si>
  <si>
    <t>24.1</t>
  </si>
  <si>
    <t>PINTURA CABINE DE OPERAÇÕES: ESQUADRIAS METÁLICAS</t>
  </si>
  <si>
    <t>25.1</t>
  </si>
  <si>
    <t>25.2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</si>
  <si>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</si>
  <si>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</si>
  <si>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</si>
  <si>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</si>
  <si>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</si>
  <si>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</si>
  <si>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</si>
  <si>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</si>
  <si>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</si>
  <si>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</si>
  <si>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</si>
  <si>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</si>
  <si>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Meses</t>
  </si>
  <si>
    <t>Total 
(C/ BDI)</t>
  </si>
  <si>
    <t>Mês 01</t>
  </si>
  <si>
    <t>Mês 02</t>
  </si>
  <si>
    <t>Mês 03</t>
  </si>
  <si>
    <t>Mês 04</t>
  </si>
  <si>
    <t>Mês 05</t>
  </si>
  <si>
    <t>Mês 06</t>
  </si>
  <si>
    <t>S U B T O T A L (com BDI)</t>
  </si>
  <si>
    <t>T O T A L   A C U M U L A D O (com BDI)</t>
  </si>
  <si>
    <t>C001</t>
  </si>
  <si>
    <t>M2</t>
  </si>
  <si>
    <t>C002</t>
  </si>
  <si>
    <t>CJ</t>
  </si>
  <si>
    <t>C003</t>
  </si>
  <si>
    <t>TANQUES EM PLÁSTICO REFORÇADO COM FIBRA DE VIDRO (PRFV) DIÂM=2,45M; COMP=8,70M, CONFORME PROJETO DE REFERÊNCIA</t>
  </si>
  <si>
    <t xml:space="preserve">UN </t>
  </si>
  <si>
    <t>Coeficiente</t>
  </si>
  <si>
    <t>Valor Unitário 
(R$)</t>
  </si>
  <si>
    <t>Valor Total 
(R$)</t>
  </si>
  <si>
    <t>C</t>
  </si>
  <si>
    <t>TRANSPORTE DE TANQUE EM PRFV POSTO EM OBRA - FRETE</t>
  </si>
  <si>
    <t>CA</t>
  </si>
  <si>
    <t>70.20.020</t>
  </si>
  <si>
    <t>KM</t>
  </si>
  <si>
    <t>TRANSPORTE COM CAMINHÃO CARROCERIA 9T, EM VIA URBANA PAVIMENTADA, DMT ATÉ 30KM (UNIDADE: TXKM). AF_07/2020</t>
  </si>
  <si>
    <t>TXKM</t>
  </si>
  <si>
    <t>INSTALAÇÃO DE TANQUES DE PRFV</t>
  </si>
  <si>
    <t>GUINDAUTO HIDRÁULICO, CAPACIDADE MÁXIMA DE CARGA 3300 KG, MOMENTO MÁXIMO DE CARGA 5,8 TM, ALCANCE MÁXIMO HORIZONTAL 7,60 M, INCLUSIVE CAMINHÃO TOCO PBT 16.000 KG, POTÊNCIA DE 189 CV - CHP DIURNO. AF_03/2016</t>
  </si>
  <si>
    <t>CHP</t>
  </si>
  <si>
    <t>GUINDAUTO HIDRÁULICO, CAPACIDADE MÁXIMA DE CARGA 6200 KG, MOMENTO MÁXIMO DE CARGA 11,7 TM, ALCANCE MÁXIMO HORIZONTAL 9,70 M, INCLUSIVE CAMINHÃO TOCO PBT 16.000 KG, POTÊNCIA DE 189 CV - CHI DIURNO. AF_06/2014</t>
  </si>
  <si>
    <t>CHI</t>
  </si>
  <si>
    <t>ENCANADOR OU BOMBEIRO HIDRÁULICO COM ENCARGOS COMPLEMENTARES</t>
  </si>
  <si>
    <t>H</t>
  </si>
  <si>
    <t>AUXILIAR DE ENCANADOR OU BOMBEIRO HIDRÁULICO COM ENCARGOS COMPLEMENTARES</t>
  </si>
  <si>
    <t>Percentual da base de cálculo para o ISS, conforme legislação tributária municipal:</t>
  </si>
  <si>
    <t>Alíquota do ISS:</t>
  </si>
  <si>
    <t>TIPO DE OBRA:</t>
  </si>
  <si>
    <t>Demonstrativo</t>
  </si>
  <si>
    <t>Referência</t>
  </si>
  <si>
    <t>SIGLAS</t>
  </si>
  <si>
    <t>DESCRIÇÃO</t>
  </si>
  <si>
    <t>3º Quartil</t>
  </si>
  <si>
    <t>AC</t>
  </si>
  <si>
    <t>SG</t>
  </si>
  <si>
    <t>SEGURO E GARANTIA</t>
  </si>
  <si>
    <t>R</t>
  </si>
  <si>
    <t>DF</t>
  </si>
  <si>
    <t>DESPESAS FINANCEIRAS</t>
  </si>
  <si>
    <t>L</t>
  </si>
  <si>
    <t>CP</t>
  </si>
  <si>
    <t>TRIBUTOS (COFINS 3% E PIS 0,65%)</t>
  </si>
  <si>
    <t>ISS</t>
  </si>
  <si>
    <t>TRIBUTOS (ISSQN)</t>
  </si>
  <si>
    <t>CPRB</t>
  </si>
  <si>
    <t>TRIBUTOS (CP SOBRE RB - DESONER.)</t>
  </si>
  <si>
    <t>SEM DESONERAÇÃO (Fórmula Acórdão TCU)</t>
  </si>
  <si>
    <t>COM DESONERAÇÃO</t>
  </si>
  <si>
    <t>Conforme Acordão Nº 2622/2013 - TCU.</t>
  </si>
  <si>
    <t>O VALOR DO BDI 2 ADOTADO É: 14,02%.</t>
  </si>
  <si>
    <t>Os valores de BDI foram calculados com o emprego da fórmula:</t>
  </si>
  <si>
    <t>27.1</t>
  </si>
  <si>
    <t>27.2</t>
  </si>
  <si>
    <t>Unid</t>
  </si>
  <si>
    <t>ELABORAÇÃO DE VIDEO PUBLICITÁRIO E PRESSRELEASE</t>
  </si>
  <si>
    <t>S003</t>
  </si>
  <si>
    <t>KG</t>
  </si>
  <si>
    <t>M</t>
  </si>
  <si>
    <t>70190181</t>
  </si>
  <si>
    <t>APLIC.DE REVESTIM. DE RESINA ACRÍLICA E CIMENTO C/ALTA ALCALIN. E ADITIVO INIBIDOR DE CORROSÃO - DUAS DEMÃOS</t>
  </si>
  <si>
    <t>CHUMBADOR AÇO INOXIDÁVEL D=1/4" X L=2" COM PARAFUSO TIPO CBA</t>
  </si>
  <si>
    <t>I</t>
  </si>
  <si>
    <t>HM01288</t>
  </si>
  <si>
    <t>REF.
21.10.210</t>
  </si>
  <si>
    <t>VEDAÇÃO EM BORRACHA NITRÍLICA</t>
  </si>
  <si>
    <t>REF.
54.08.010</t>
  </si>
  <si>
    <t>ESTRUTURA EM POLIPROPILENO (PP)</t>
  </si>
  <si>
    <t>STOP-LOG EM POLIPROPILENO (PP) COM QUADRO-GUIA E BORRACHA NITRÍLICA DE VEDAÇÃO, COMPONENTES EM RESINA E AÇO INOX - FORNECIMENTO E MONTAGEM</t>
  </si>
  <si>
    <t>67.02.320</t>
  </si>
  <si>
    <r>
      <t xml:space="preserve">COMPORTA EM FIBRA DE VIDRO (STOP LOG) - ESPESSURA DE 10MM, COMPLETA - </t>
    </r>
    <r>
      <rPr>
        <b/>
        <sz val="10"/>
        <rFont val="Cambria"/>
        <family val="1"/>
      </rPr>
      <t>(STOP-LOG 1: 2 UN - 85CM X 45CM)</t>
    </r>
  </si>
  <si>
    <r>
      <t>COMPORTA EM FIBRA DE VIDRO (STOP LOG) - ESPESSURA DE 10MM, COMPLETA -</t>
    </r>
    <r>
      <rPr>
        <b/>
        <sz val="10"/>
        <rFont val="Cambria"/>
        <family val="1"/>
      </rPr>
      <t>(</t>
    </r>
    <r>
      <rPr>
        <sz val="10"/>
        <rFont val="Cambria"/>
        <family val="1"/>
      </rPr>
      <t xml:space="preserve"> </t>
    </r>
    <r>
      <rPr>
        <b/>
        <sz val="10"/>
        <rFont val="Cambria"/>
        <family val="1"/>
      </rPr>
      <t>STOP-LOG 2: 1 UN - 85CM X 45CM)</t>
    </r>
  </si>
  <si>
    <r>
      <t xml:space="preserve">COMPORTA EM FIBRA DE VIDRO (STOP LOG) - ESPESSURA DE 10MM, COMPLETA - </t>
    </r>
    <r>
      <rPr>
        <b/>
        <sz val="10"/>
        <rFont val="Cambria"/>
        <family val="1"/>
      </rPr>
      <t>(STOP-LOG 3: 4 UN - 85CM X 54CM</t>
    </r>
  </si>
  <si>
    <t>COMPORTA EM FIBRA DE VIDRO (STOP LOG) - ESPESSURA DE 10MM</t>
  </si>
  <si>
    <t>PEDESTAL DE MANOBRA OU SUSPENSÃO ACIONAMENTO MANUAL - MONTAGEM</t>
  </si>
  <si>
    <t>70140093</t>
  </si>
  <si>
    <t xml:space="preserve">I </t>
  </si>
  <si>
    <t>HASTE DE PROLONGAMENTO C/QUADRADO E BOCA DE CHAVE FERRO TREFILADO D=1.1/8" X L=5 M (5 KG/M) PINTURA EPÓXI AZUL P/MANOBRA DE VÁLVULAS</t>
  </si>
  <si>
    <t xml:space="preserve">REF. 
HM06361 </t>
  </si>
  <si>
    <t>STOP-LOG EM FIBRA DE VIDRO (PRFV) COM GUIAS EMBUTIDAS, C/ QUADRO E ACIONAMENTO MANUAL COM VOLANTE</t>
  </si>
  <si>
    <t>DR 15.50.0062</t>
  </si>
  <si>
    <t>VOLANTE DE FERRO FUNDIDO DUCTIL REFERENCIA NO 21, BARBARA OU SIMILAR. FORNECIMENTO E ASSENTAMENTO.</t>
  </si>
  <si>
    <t>PRODUÇÃO DE VÍDEO PUBLICITÁRIO PROFISSIONAL ELABORADO POR EMPRESA ESPECIALIZADA EM SERVIÇO DE DESIGN E DIAGRAMAÇÃO DE VÍDEO E PUBLICAÇÃO, DE NO MÍNIMO 1 MINUTO E NO MÁXIMO 3 MINUTOS DE DURAÇÃO</t>
  </si>
  <si>
    <t>PRODUÇÃO DE PRESS RELEASE PROFISSIONAL ELABORADO POR EMPRESA ESPECIALIZADA, DE NO MÍNIMO 1 E NO MÁXIMO 2 PÁGINAS</t>
  </si>
  <si>
    <t>SINAPI (11/2025)</t>
  </si>
  <si>
    <t>CPOS (09/2025)</t>
  </si>
  <si>
    <t>SABESP (09/2025)</t>
  </si>
  <si>
    <t>SCO (11/2025)</t>
  </si>
  <si>
    <t>[ LOGO DA EMPRESA ]</t>
  </si>
  <si>
    <r>
      <t xml:space="preserve">[NOME DA EMPRESA]
</t>
    </r>
    <r>
      <rPr>
        <sz val="10"/>
        <color rgb="FFFF0000"/>
        <rFont val="Cambria"/>
        <family val="1"/>
      </rPr>
      <t xml:space="preserve">[ENDEREÇO, TELEFONE, E-MAIL]
</t>
    </r>
    <r>
      <rPr>
        <b/>
        <sz val="10"/>
        <color rgb="FFFF0000"/>
        <rFont val="Cambria"/>
        <family val="1"/>
      </rPr>
      <t>[CNPJ]</t>
    </r>
  </si>
  <si>
    <t>% DESCONTO PROPONENTE</t>
  </si>
  <si>
    <t>[LOCAL E DATA]</t>
  </si>
  <si>
    <t>Representante Legal:</t>
  </si>
  <si>
    <t>[NOME DO REPRESENTANTE LEGAL]</t>
  </si>
  <si>
    <t>[CARGO]</t>
  </si>
  <si>
    <t>[NOME DA EMPRESA]</t>
  </si>
  <si>
    <t>[CNPJ N° ]</t>
  </si>
  <si>
    <t>NOTAS E INSTRUÇÕES PARA PREENCHIMENTO DA PLANILHA ORÇAMENTÁRIA</t>
  </si>
  <si>
    <r>
      <t xml:space="preserve">O proponente deverá preencher exclusivamente os campos destinados aos </t>
    </r>
    <r>
      <rPr>
        <b/>
        <sz val="10"/>
        <rFont val="Arial"/>
        <family val="2"/>
      </rPr>
      <t>preços unitários</t>
    </r>
    <r>
      <rPr>
        <sz val="10"/>
        <rFont val="Arial"/>
        <family val="2"/>
      </rPr>
      <t>, sendo vedada a alteração de fórmulas, estruturas, quantitativos ou quaisquer demais células protegidas da planilha.</t>
    </r>
  </si>
  <si>
    <r>
      <t xml:space="preserve">O percentual de desconto ofertado será considerado de forma </t>
    </r>
    <r>
      <rPr>
        <b/>
        <sz val="10"/>
        <rFont val="Arial"/>
        <family val="2"/>
      </rPr>
      <t>global</t>
    </r>
    <r>
      <rPr>
        <sz val="10"/>
        <rFont val="Arial"/>
        <family val="2"/>
      </rPr>
      <t>, incidindo de maneira</t>
    </r>
    <r>
      <rPr>
        <b/>
        <sz val="10"/>
        <rFont val="Arial"/>
        <family val="2"/>
      </rPr>
      <t xml:space="preserve"> linear e proporcional sobre todos os preços unitários</t>
    </r>
    <r>
      <rPr>
        <sz val="10"/>
        <rFont val="Arial"/>
        <family val="2"/>
      </rPr>
      <t xml:space="preserve"> da planilha, ainda que o preenchimento seja realizado diretamente nos valores unitários.</t>
    </r>
  </si>
  <si>
    <t>Observação final:</t>
  </si>
  <si>
    <t>O correto preenchimento desta planilha é condição essencial para a validade da proposta, sendo recomendada a conferência prévia de todos os valores antes de sua apresentação.</t>
  </si>
  <si>
    <t>Em função do arredondamento dos valores unitários e subtotais, poderá ocorrer diferença residual entre o valor global da proposta e a soma dos subtotais dos itens. Nesses casos:
          • Será considerada válida a proposta cujo valor global esteja compatível com o percentual de desconto ofertado;
          • Eventuais diferenças de centavos serão tratadas como ajustes de arredondamento, não caracterizando erro material.</t>
  </si>
  <si>
    <t>Para fins de julgamento e classificação:
          • Prevalecerá o valor global da proposta, associado ao percentual de desconto informado;
          • A consistência entre o valor global e os preços unitários será verificada considerando os critérios de arredondamento aqui estabelecidos;
          • Não serão desclassificadas propostas exclusivamente por diferenças irrelevantes decorrentes de arredondamento, desde que não haja indício de manipulação de preços.</t>
  </si>
  <si>
    <t>Não será admitida a apresentação de preços unitários com distribuição não proporcional do desconto, que resulte em distorções relevantes entre itens, caracterizando “jogo de planilha”.</t>
  </si>
  <si>
    <t>O proponente é integralmente responsável:
          • Pela exatidão dos valores unitários informados;
          • Pela compatibilidade entre sua proposta e o desconto ofertado;
          • Pela observância das regras de arredondamento e consistência previstas neste instrumento.</t>
  </si>
  <si>
    <t>A Administração poderá, para fins de compatibilização:
          • Realizar ajustes pontuais de arredondamento em itens da planilha;
          • ou solicitar esclarecimentos ao proponente, quando identificadas inconsistências relevantes.</t>
  </si>
  <si>
    <t>Em caso de divergência entre os valores apresentados na planilha e demais documentos da proposta, prevalecerão os critérios estabelecidos no edital e seus anexos.</t>
  </si>
  <si>
    <t>[LOGO DA EMPRESA]</t>
  </si>
  <si>
    <t>O VALOR DO BDI 1 ADOTADO É: 25,00%.</t>
  </si>
  <si>
    <t>ANEXO IX.2</t>
  </si>
  <si>
    <t>DEMONSTRATIVO DO B.D.I.</t>
  </si>
  <si>
    <r>
      <t xml:space="preserve">FONTE: </t>
    </r>
    <r>
      <rPr>
        <sz val="10"/>
        <color rgb="FF000000"/>
        <rFont val="Arial"/>
        <family val="2"/>
      </rPr>
      <t xml:space="preserve">SINAPI 11-2025 / CPOS 09-2025 / SABESP 09-2025 - </t>
    </r>
    <r>
      <rPr>
        <b/>
        <sz val="10"/>
        <color rgb="FF000000"/>
        <rFont val="Arial"/>
        <family val="2"/>
      </rPr>
      <t>(NÃO DESONERADO)</t>
    </r>
  </si>
  <si>
    <t>COMPOSIÇÃO DE PREÇO UNITÁRIA - CPU</t>
  </si>
  <si>
    <t>ANEXO IX.3</t>
  </si>
  <si>
    <t xml:space="preserve">ANEXO IX.4
CRONOGRAMA FÍSICO-FINANCEIRO
</t>
  </si>
  <si>
    <r>
      <rPr>
        <b/>
        <sz val="18"/>
        <rFont val="Cambria"/>
        <family val="1"/>
      </rPr>
      <t xml:space="preserve">ANEXO IX.1
PLANILHA ORÇAMENTÁRIA
</t>
    </r>
    <r>
      <rPr>
        <sz val="10"/>
        <rFont val="Arial"/>
        <family val="2"/>
      </rPr>
      <t>Orçamento proponente</t>
    </r>
  </si>
  <si>
    <t>NÃO IMPRIMIR CONSIDERAÇÕES ABAIXO NA PROPOSTA FINAL!</t>
  </si>
  <si>
    <r>
      <t xml:space="preserve">SINAPI (07/2026) / CPOS (06/2026) / SABESP (03/2026) - </t>
    </r>
    <r>
      <rPr>
        <b/>
        <sz val="10"/>
        <rFont val="Arial"/>
        <family val="2"/>
      </rPr>
      <t>NÃO DESONERADO</t>
    </r>
  </si>
  <si>
    <t>DADOS REF. AO ORÇAMENTO BASE DA LICITAÇÃO</t>
  </si>
  <si>
    <t>TEÓRICO</t>
  </si>
  <si>
    <t>PLANILHA</t>
  </si>
  <si>
    <t>% RECURSO FEHIDRO</t>
  </si>
  <si>
    <t>TEÓRICO - PLANILHA *</t>
  </si>
  <si>
    <r>
      <rPr>
        <b/>
        <sz val="10"/>
        <rFont val="Arial"/>
        <family val="2"/>
      </rPr>
      <t>* Obs.</t>
    </r>
    <r>
      <rPr>
        <sz val="10"/>
        <rFont val="Arial"/>
        <family val="2"/>
      </rPr>
      <t>: caso haja diferença entre valores (teórico x planilha), sugerimos que o ajuste seja efetuado no serviço do item 27.2 (último item da planilha)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</si>
</sst>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R$&quot;\ * #,##0.00_-;\-&quot;R$&quot;\ * #,##0.00_-;_-&quot;R$&quot;\ * &quot;-&quot;??_-;_-@_-"/>
    <numFmt numFmtId="164" formatCode="_(* #,##0.00_);_(* \(#,##0.00\);_(* \-??_);_(@_)"/>
    <numFmt numFmtId="165" formatCode="#,##0.00\ "/>
    <numFmt numFmtId="166" formatCode="_(&quot;R$ &quot;* #,##0.00_);_(&quot;R$ &quot;* \(#,##0.00\);_(&quot;R$ &quot;* \-??_);_(@_)"/>
    <numFmt numFmtId="167" formatCode="_(* #,##0.0000_);_(* \(#,##0.0000\);_(* \-??_);_(@_)"/>
    <numFmt numFmtId="168" formatCode="_-* #,##0.000_-;\-* #,##0.000_-;_-* &quot;-&quot;??_-;_-@_-"/>
    <numFmt numFmtId="169" formatCode="0.0000%"/>
    <numFmt numFmtId="170" formatCode="_(* #,##0.0000000_);_(* \(#,##0.0000000\);_(* \-??_);_(@_)"/>
  </numFmts>
  <fonts count="40" x14ac:knownFonts="1">
    <font>
      <sz val="10"/>
      <name val="Arial"/>
      <charset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ahoma"/>
      <family val="2"/>
      <charset val="1"/>
    </font>
    <font>
      <b/>
      <sz val="12"/>
      <name val="Tahoma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b/>
      <sz val="10"/>
      <name val="Cambria"/>
      <family val="1"/>
    </font>
    <font>
      <b/>
      <sz val="11"/>
      <color rgb="FF000000"/>
      <name val="Cambria"/>
      <family val="1"/>
    </font>
    <font>
      <b/>
      <sz val="12"/>
      <name val="Cambria"/>
      <family val="1"/>
    </font>
    <font>
      <sz val="10"/>
      <name val="Cambria"/>
      <family val="1"/>
    </font>
    <font>
      <sz val="12"/>
      <name val="Cambria"/>
      <family val="1"/>
    </font>
    <font>
      <i/>
      <sz val="10"/>
      <name val="Cambria"/>
      <family val="1"/>
    </font>
    <font>
      <b/>
      <sz val="14"/>
      <name val="Cambria"/>
      <family val="1"/>
    </font>
    <font>
      <sz val="10"/>
      <color rgb="FFFF0000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i/>
      <sz val="10"/>
      <name val="Cambria"/>
      <family val="1"/>
    </font>
    <font>
      <b/>
      <sz val="11"/>
      <name val="Cambria"/>
      <family val="1"/>
    </font>
    <font>
      <b/>
      <sz val="18"/>
      <name val="Cambria"/>
      <family val="1"/>
    </font>
    <font>
      <i/>
      <sz val="10"/>
      <color rgb="FFFF0000"/>
      <name val="Arial"/>
      <family val="2"/>
    </font>
    <font>
      <sz val="10"/>
      <color rgb="FFFF0000"/>
      <name val="Cambria"/>
      <family val="1"/>
    </font>
    <font>
      <sz val="12"/>
      <color rgb="FFFF0000"/>
      <name val="Cambria"/>
      <family val="1"/>
    </font>
    <font>
      <b/>
      <sz val="10"/>
      <color rgb="FFFF0000"/>
      <name val="Tahoma"/>
      <family val="2"/>
      <charset val="1"/>
    </font>
    <font>
      <b/>
      <sz val="11"/>
      <color rgb="FFFF0000"/>
      <name val="Cambria"/>
      <family val="1"/>
    </font>
    <font>
      <b/>
      <sz val="18"/>
      <color rgb="FFFF0000"/>
      <name val="Cambria"/>
      <family val="1"/>
    </font>
    <font>
      <b/>
      <sz val="10"/>
      <color rgb="FFFF0000"/>
      <name val="Cambria"/>
      <family val="1"/>
    </font>
    <font>
      <b/>
      <sz val="10"/>
      <color rgb="FFFF000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theme="4" tint="0.79998168889431442"/>
      <name val="Cambria"/>
      <family val="1"/>
    </font>
    <font>
      <b/>
      <sz val="10"/>
      <color rgb="FFFF0000"/>
      <name val="Verdana"/>
      <family val="2"/>
    </font>
    <font>
      <b/>
      <i/>
      <sz val="10"/>
      <name val="Arial"/>
      <family val="2"/>
    </font>
    <font>
      <b/>
      <sz val="16"/>
      <color rgb="FFFF0000"/>
      <name val="Arial"/>
      <family val="2"/>
    </font>
    <font>
      <sz val="10"/>
      <color rgb="FFFF0000"/>
      <name val="Calibri"/>
      <family val="2"/>
      <scheme val="minor"/>
    </font>
    <font>
      <sz val="10"/>
      <color theme="0"/>
      <name val="Arial"/>
      <family val="2"/>
    </font>
    <font>
      <i/>
      <sz val="10"/>
      <color theme="0"/>
      <name val="Cambria"/>
      <family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rgb="FFBFBFB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5" fillId="0" borderId="0" applyBorder="0" applyProtection="0"/>
    <xf numFmtId="166" fontId="5" fillId="0" borderId="0" applyBorder="0" applyProtection="0"/>
    <xf numFmtId="9" fontId="5" fillId="0" borderId="0" applyBorder="0" applyProtection="0"/>
    <xf numFmtId="0" fontId="1" fillId="0" borderId="0"/>
  </cellStyleXfs>
  <cellXfs count="36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Border="1" applyAlignment="1">
      <alignment vertical="center"/>
    </xf>
    <xf numFmtId="0" fontId="10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2" fillId="0" borderId="0" xfId="0" applyFont="1" applyAlignment="1">
      <alignment vertical="center"/>
    </xf>
    <xf numFmtId="49" fontId="10" fillId="2" borderId="0" xfId="0" applyNumberFormat="1" applyFont="1" applyFill="1" applyBorder="1" applyAlignment="1">
      <alignment vertical="center"/>
    </xf>
    <xf numFmtId="0" fontId="10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6" xfId="0" quotePrefix="1" applyFont="1" applyBorder="1" applyAlignment="1">
      <alignment horizontal="center" vertical="center"/>
    </xf>
    <xf numFmtId="0" fontId="10" fillId="0" borderId="6" xfId="0" applyFont="1" applyBorder="1" applyAlignment="1">
      <alignment vertical="center" wrapText="1"/>
    </xf>
    <xf numFmtId="165" fontId="10" fillId="0" borderId="6" xfId="0" applyNumberFormat="1" applyFont="1" applyBorder="1" applyAlignment="1">
      <alignment horizontal="center" vertical="center" wrapText="1"/>
    </xf>
    <xf numFmtId="164" fontId="10" fillId="0" borderId="6" xfId="1" applyFont="1" applyBorder="1" applyAlignment="1" applyProtection="1">
      <alignment vertical="center"/>
    </xf>
    <xf numFmtId="164" fontId="10" fillId="0" borderId="6" xfId="1" applyFont="1" applyFill="1" applyBorder="1" applyAlignment="1" applyProtection="1">
      <alignment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6" xfId="0" quotePrefix="1" applyFont="1" applyBorder="1" applyAlignment="1">
      <alignment horizontal="center" vertical="center" wrapText="1"/>
    </xf>
    <xf numFmtId="10" fontId="10" fillId="0" borderId="0" xfId="3" applyNumberFormat="1" applyFont="1" applyFill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/>
    </xf>
    <xf numFmtId="10" fontId="10" fillId="0" borderId="0" xfId="3" applyNumberFormat="1" applyFont="1" applyFill="1" applyBorder="1" applyAlignment="1">
      <alignment horizontal="center" vertical="center" wrapText="1"/>
    </xf>
    <xf numFmtId="10" fontId="10" fillId="3" borderId="0" xfId="3" applyNumberFormat="1" applyFont="1" applyFill="1" applyBorder="1" applyAlignment="1">
      <alignment horizontal="center" vertical="center"/>
    </xf>
    <xf numFmtId="10" fontId="10" fillId="3" borderId="0" xfId="3" applyNumberFormat="1" applyFont="1" applyFill="1" applyBorder="1" applyAlignment="1">
      <alignment horizontal="center" vertical="center" wrapText="1"/>
    </xf>
    <xf numFmtId="10" fontId="2" fillId="0" borderId="9" xfId="3" applyNumberFormat="1" applyFont="1" applyFill="1" applyBorder="1" applyAlignment="1">
      <alignment horizontal="center" vertical="center"/>
    </xf>
    <xf numFmtId="10" fontId="16" fillId="0" borderId="0" xfId="3" applyNumberFormat="1" applyFont="1" applyBorder="1" applyAlignment="1">
      <alignment horizontal="center" vertical="center"/>
    </xf>
    <xf numFmtId="10" fontId="16" fillId="3" borderId="0" xfId="3" applyNumberFormat="1" applyFont="1" applyFill="1" applyBorder="1" applyAlignment="1">
      <alignment horizontal="center" vertical="center"/>
    </xf>
    <xf numFmtId="10" fontId="12" fillId="0" borderId="8" xfId="3" applyNumberFormat="1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10" fontId="2" fillId="0" borderId="0" xfId="3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6" xfId="0" quotePrefix="1" applyFont="1" applyBorder="1" applyAlignment="1">
      <alignment horizontal="center" vertical="center"/>
    </xf>
    <xf numFmtId="0" fontId="10" fillId="0" borderId="16" xfId="0" applyFont="1" applyBorder="1" applyAlignment="1">
      <alignment vertical="center" wrapText="1"/>
    </xf>
    <xf numFmtId="165" fontId="10" fillId="0" borderId="16" xfId="0" applyNumberFormat="1" applyFont="1" applyBorder="1" applyAlignment="1">
      <alignment horizontal="center" vertical="center" wrapText="1"/>
    </xf>
    <xf numFmtId="164" fontId="10" fillId="0" borderId="16" xfId="1" applyFont="1" applyBorder="1" applyAlignment="1" applyProtection="1">
      <alignment vertical="center"/>
    </xf>
    <xf numFmtId="164" fontId="10" fillId="0" borderId="16" xfId="1" applyFont="1" applyFill="1" applyBorder="1" applyAlignment="1" applyProtection="1">
      <alignment vertical="center"/>
    </xf>
    <xf numFmtId="0" fontId="1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9" fontId="10" fillId="0" borderId="0" xfId="3" applyFont="1" applyBorder="1" applyAlignment="1" applyProtection="1">
      <alignment horizontal="center" vertical="center"/>
    </xf>
    <xf numFmtId="9" fontId="10" fillId="0" borderId="0" xfId="0" applyNumberFormat="1" applyFont="1" applyBorder="1" applyAlignment="1">
      <alignment horizontal="center" vertical="center"/>
    </xf>
    <xf numFmtId="166" fontId="7" fillId="0" borderId="0" xfId="2" applyFont="1" applyBorder="1" applyAlignment="1" applyProtection="1">
      <alignment horizontal="center" vertical="center"/>
    </xf>
    <xf numFmtId="10" fontId="7" fillId="0" borderId="0" xfId="3" applyNumberFormat="1" applyFont="1" applyBorder="1" applyAlignment="1" applyProtection="1">
      <alignment horizontal="center" vertical="center"/>
    </xf>
    <xf numFmtId="10" fontId="10" fillId="0" borderId="16" xfId="3" applyNumberFormat="1" applyFont="1" applyFill="1" applyBorder="1" applyAlignment="1" applyProtection="1">
      <alignment horizontal="center" vertical="center"/>
    </xf>
    <xf numFmtId="166" fontId="7" fillId="0" borderId="19" xfId="2" applyFont="1" applyFill="1" applyBorder="1" applyAlignment="1" applyProtection="1">
      <alignment horizontal="center" vertical="center"/>
    </xf>
    <xf numFmtId="166" fontId="7" fillId="0" borderId="20" xfId="2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17" fontId="17" fillId="0" borderId="14" xfId="0" quotePrefix="1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164" fontId="10" fillId="0" borderId="6" xfId="1" applyFont="1" applyFill="1" applyBorder="1" applyAlignment="1" applyProtection="1">
      <alignment horizontal="center" vertical="center"/>
    </xf>
    <xf numFmtId="10" fontId="5" fillId="0" borderId="14" xfId="3" applyNumberFormat="1" applyBorder="1" applyAlignment="1">
      <alignment horizontal="center" vertical="center"/>
    </xf>
    <xf numFmtId="10" fontId="2" fillId="0" borderId="10" xfId="3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10" fillId="0" borderId="13" xfId="0" applyNumberFormat="1" applyFont="1" applyBorder="1" applyAlignment="1">
      <alignment vertical="center"/>
    </xf>
    <xf numFmtId="166" fontId="7" fillId="0" borderId="15" xfId="0" applyNumberFormat="1" applyFont="1" applyFill="1" applyBorder="1" applyAlignment="1">
      <alignment vertical="center"/>
    </xf>
    <xf numFmtId="0" fontId="10" fillId="0" borderId="13" xfId="0" applyFont="1" applyBorder="1" applyAlignment="1">
      <alignment vertical="center"/>
    </xf>
    <xf numFmtId="10" fontId="2" fillId="0" borderId="11" xfId="3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10" fontId="12" fillId="0" borderId="15" xfId="3" applyNumberFormat="1" applyFont="1" applyFill="1" applyBorder="1" applyAlignment="1" applyProtection="1">
      <alignment horizontal="center" vertical="center"/>
    </xf>
    <xf numFmtId="10" fontId="12" fillId="0" borderId="14" xfId="3" applyNumberFormat="1" applyFont="1" applyFill="1" applyBorder="1" applyAlignment="1" applyProtection="1">
      <alignment horizontal="center" vertical="center"/>
    </xf>
    <xf numFmtId="0" fontId="10" fillId="0" borderId="20" xfId="0" applyFont="1" applyFill="1" applyBorder="1" applyAlignment="1">
      <alignment horizontal="center" vertical="center" wrapText="1"/>
    </xf>
    <xf numFmtId="0" fontId="10" fillId="0" borderId="20" xfId="0" quotePrefix="1" applyFont="1" applyBorder="1" applyAlignment="1">
      <alignment horizontal="center" vertical="center"/>
    </xf>
    <xf numFmtId="0" fontId="10" fillId="0" borderId="20" xfId="0" applyFont="1" applyBorder="1" applyAlignment="1">
      <alignment vertical="center" wrapText="1"/>
    </xf>
    <xf numFmtId="165" fontId="10" fillId="0" borderId="20" xfId="0" applyNumberFormat="1" applyFont="1" applyBorder="1" applyAlignment="1">
      <alignment horizontal="center" vertical="center" wrapText="1"/>
    </xf>
    <xf numFmtId="164" fontId="10" fillId="0" borderId="20" xfId="1" applyFont="1" applyBorder="1" applyAlignment="1" applyProtection="1">
      <alignment vertical="center"/>
    </xf>
    <xf numFmtId="164" fontId="10" fillId="0" borderId="20" xfId="1" applyFont="1" applyFill="1" applyBorder="1" applyAlignment="1" applyProtection="1">
      <alignment horizontal="center" vertical="center"/>
    </xf>
    <xf numFmtId="0" fontId="10" fillId="0" borderId="15" xfId="0" applyFont="1" applyBorder="1" applyAlignment="1">
      <alignment horizontal="left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5" xfId="0" quotePrefix="1" applyFont="1" applyBorder="1" applyAlignment="1">
      <alignment horizontal="center" vertical="center"/>
    </xf>
    <xf numFmtId="0" fontId="10" fillId="0" borderId="15" xfId="0" applyFont="1" applyBorder="1" applyAlignment="1">
      <alignment vertical="center" wrapText="1"/>
    </xf>
    <xf numFmtId="165" fontId="10" fillId="0" borderId="15" xfId="0" applyNumberFormat="1" applyFont="1" applyBorder="1" applyAlignment="1">
      <alignment horizontal="center" vertical="center" wrapText="1"/>
    </xf>
    <xf numFmtId="164" fontId="10" fillId="0" borderId="15" xfId="1" applyFont="1" applyBorder="1" applyAlignment="1" applyProtection="1">
      <alignment vertical="center"/>
    </xf>
    <xf numFmtId="164" fontId="10" fillId="0" borderId="15" xfId="1" applyFont="1" applyFill="1" applyBorder="1" applyAlignment="1" applyProtection="1">
      <alignment vertical="center"/>
    </xf>
    <xf numFmtId="164" fontId="10" fillId="0" borderId="15" xfId="1" applyFont="1" applyFill="1" applyBorder="1" applyAlignment="1" applyProtection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7" xfId="0" quotePrefix="1" applyFont="1" applyBorder="1" applyAlignment="1">
      <alignment horizontal="center" vertical="center"/>
    </xf>
    <xf numFmtId="0" fontId="10" fillId="0" borderId="17" xfId="0" applyFont="1" applyBorder="1" applyAlignment="1">
      <alignment vertical="center" wrapText="1"/>
    </xf>
    <xf numFmtId="165" fontId="10" fillId="0" borderId="17" xfId="0" applyNumberFormat="1" applyFont="1" applyBorder="1" applyAlignment="1">
      <alignment horizontal="center" vertical="center" wrapText="1"/>
    </xf>
    <xf numFmtId="164" fontId="10" fillId="0" borderId="17" xfId="1" applyFont="1" applyBorder="1" applyAlignment="1" applyProtection="1">
      <alignment vertical="center"/>
    </xf>
    <xf numFmtId="164" fontId="10" fillId="0" borderId="17" xfId="1" applyFont="1" applyFill="1" applyBorder="1" applyAlignment="1" applyProtection="1">
      <alignment vertical="center"/>
    </xf>
    <xf numFmtId="0" fontId="10" fillId="0" borderId="0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/>
    </xf>
    <xf numFmtId="10" fontId="7" fillId="0" borderId="8" xfId="3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10" fontId="7" fillId="2" borderId="2" xfId="0" applyNumberFormat="1" applyFont="1" applyFill="1" applyBorder="1" applyAlignment="1">
      <alignment horizontal="center" vertical="center"/>
    </xf>
    <xf numFmtId="0" fontId="10" fillId="0" borderId="6" xfId="0" quotePrefix="1" applyFont="1" applyFill="1" applyBorder="1" applyAlignment="1">
      <alignment horizontal="center" vertical="center"/>
    </xf>
    <xf numFmtId="0" fontId="11" fillId="0" borderId="22" xfId="0" applyFont="1" applyBorder="1" applyAlignment="1">
      <alignment horizontal="right" vertical="center"/>
    </xf>
    <xf numFmtId="0" fontId="10" fillId="0" borderId="6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vertical="center" wrapText="1"/>
    </xf>
    <xf numFmtId="165" fontId="10" fillId="0" borderId="6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3" fontId="10" fillId="0" borderId="6" xfId="0" applyNumberFormat="1" applyFont="1" applyFill="1" applyBorder="1" applyAlignment="1">
      <alignment horizontal="left" vertical="center" wrapText="1"/>
    </xf>
    <xf numFmtId="0" fontId="10" fillId="0" borderId="15" xfId="0" quotePrefix="1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vertical="center" wrapText="1"/>
    </xf>
    <xf numFmtId="165" fontId="10" fillId="0" borderId="15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164" fontId="10" fillId="0" borderId="17" xfId="1" applyFont="1" applyFill="1" applyBorder="1" applyAlignment="1" applyProtection="1">
      <alignment horizontal="center" vertical="center"/>
    </xf>
    <xf numFmtId="0" fontId="6" fillId="0" borderId="25" xfId="0" applyFont="1" applyFill="1" applyBorder="1" applyAlignment="1">
      <alignment horizontal="center" vertical="center" wrapText="1"/>
    </xf>
    <xf numFmtId="4" fontId="6" fillId="0" borderId="25" xfId="1" applyNumberFormat="1" applyFont="1" applyFill="1" applyBorder="1" applyAlignment="1" applyProtection="1">
      <alignment horizontal="center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8" xfId="0" quotePrefix="1" applyFont="1" applyBorder="1" applyAlignment="1">
      <alignment horizontal="center" vertical="center"/>
    </xf>
    <xf numFmtId="0" fontId="10" fillId="0" borderId="18" xfId="0" applyFont="1" applyBorder="1" applyAlignment="1">
      <alignment vertical="center" wrapText="1"/>
    </xf>
    <xf numFmtId="165" fontId="10" fillId="0" borderId="18" xfId="0" applyNumberFormat="1" applyFont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top" wrapText="1"/>
    </xf>
    <xf numFmtId="0" fontId="7" fillId="4" borderId="2" xfId="0" quotePrefix="1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vertical="top" wrapText="1"/>
    </xf>
    <xf numFmtId="165" fontId="7" fillId="4" borderId="2" xfId="0" applyNumberFormat="1" applyFont="1" applyFill="1" applyBorder="1" applyAlignment="1">
      <alignment horizontal="center" vertical="top" wrapText="1"/>
    </xf>
    <xf numFmtId="4" fontId="7" fillId="4" borderId="2" xfId="1" applyNumberFormat="1" applyFont="1" applyFill="1" applyBorder="1" applyAlignment="1" applyProtection="1">
      <alignment horizontal="center" vertical="top" wrapText="1"/>
    </xf>
    <xf numFmtId="166" fontId="7" fillId="4" borderId="11" xfId="2" applyFont="1" applyFill="1" applyBorder="1" applyAlignment="1" applyProtection="1">
      <alignment vertical="top"/>
    </xf>
    <xf numFmtId="0" fontId="10" fillId="0" borderId="17" xfId="0" applyFont="1" applyBorder="1" applyAlignment="1">
      <alignment horizontal="center" vertical="center" wrapText="1"/>
    </xf>
    <xf numFmtId="167" fontId="10" fillId="0" borderId="17" xfId="1" applyNumberFormat="1" applyFont="1" applyBorder="1" applyAlignment="1" applyProtection="1">
      <alignment vertical="center"/>
    </xf>
    <xf numFmtId="0" fontId="10" fillId="0" borderId="15" xfId="0" applyFont="1" applyBorder="1" applyAlignment="1">
      <alignment horizontal="center" vertical="center" wrapText="1"/>
    </xf>
    <xf numFmtId="167" fontId="10" fillId="0" borderId="15" xfId="1" applyNumberFormat="1" applyFont="1" applyBorder="1" applyAlignment="1" applyProtection="1">
      <alignment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4" xfId="0" quotePrefix="1" applyFont="1" applyBorder="1" applyAlignment="1">
      <alignment horizontal="center" vertical="center"/>
    </xf>
    <xf numFmtId="0" fontId="10" fillId="0" borderId="14" xfId="0" applyFont="1" applyBorder="1" applyAlignment="1">
      <alignment vertical="center" wrapText="1"/>
    </xf>
    <xf numFmtId="165" fontId="10" fillId="0" borderId="14" xfId="0" applyNumberFormat="1" applyFont="1" applyBorder="1" applyAlignment="1">
      <alignment horizontal="center" vertical="center" wrapText="1"/>
    </xf>
    <xf numFmtId="167" fontId="10" fillId="0" borderId="14" xfId="1" applyNumberFormat="1" applyFont="1" applyBorder="1" applyAlignment="1" applyProtection="1">
      <alignment vertical="center"/>
    </xf>
    <xf numFmtId="164" fontId="10" fillId="0" borderId="14" xfId="1" applyFont="1" applyFill="1" applyBorder="1" applyAlignment="1" applyProtection="1">
      <alignment vertical="center"/>
    </xf>
    <xf numFmtId="164" fontId="10" fillId="0" borderId="14" xfId="1" applyFont="1" applyBorder="1" applyAlignment="1" applyProtection="1">
      <alignment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quotePrefix="1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165" fontId="10" fillId="0" borderId="0" xfId="0" applyNumberFormat="1" applyFont="1" applyBorder="1" applyAlignment="1">
      <alignment horizontal="center" vertical="center" wrapText="1"/>
    </xf>
    <xf numFmtId="167" fontId="10" fillId="0" borderId="0" xfId="1" applyNumberFormat="1" applyFont="1" applyBorder="1" applyAlignment="1" applyProtection="1">
      <alignment vertical="center"/>
    </xf>
    <xf numFmtId="164" fontId="10" fillId="0" borderId="0" xfId="1" applyFont="1" applyFill="1" applyBorder="1" applyAlignment="1" applyProtection="1">
      <alignment vertical="center"/>
    </xf>
    <xf numFmtId="164" fontId="10" fillId="0" borderId="0" xfId="1" applyFont="1" applyBorder="1" applyAlignment="1" applyProtection="1">
      <alignment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167" fontId="10" fillId="0" borderId="18" xfId="1" applyNumberFormat="1" applyFont="1" applyBorder="1" applyAlignment="1" applyProtection="1">
      <alignment vertical="center"/>
    </xf>
    <xf numFmtId="164" fontId="10" fillId="0" borderId="18" xfId="1" applyFont="1" applyFill="1" applyBorder="1" applyAlignment="1" applyProtection="1">
      <alignment vertical="center"/>
    </xf>
    <xf numFmtId="164" fontId="10" fillId="0" borderId="18" xfId="1" applyFont="1" applyBorder="1" applyAlignment="1" applyProtection="1">
      <alignment vertical="center"/>
    </xf>
    <xf numFmtId="0" fontId="7" fillId="4" borderId="3" xfId="0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horizontal="center" vertical="top" wrapText="1"/>
    </xf>
    <xf numFmtId="0" fontId="7" fillId="4" borderId="4" xfId="0" quotePrefix="1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vertical="top" wrapText="1"/>
    </xf>
    <xf numFmtId="165" fontId="7" fillId="4" borderId="4" xfId="0" applyNumberFormat="1" applyFont="1" applyFill="1" applyBorder="1" applyAlignment="1">
      <alignment horizontal="center" vertical="top" wrapText="1"/>
    </xf>
    <xf numFmtId="4" fontId="7" fillId="4" borderId="4" xfId="1" applyNumberFormat="1" applyFont="1" applyFill="1" applyBorder="1" applyAlignment="1" applyProtection="1">
      <alignment horizontal="center" vertical="top" wrapText="1"/>
    </xf>
    <xf numFmtId="166" fontId="7" fillId="4" borderId="5" xfId="2" applyFont="1" applyFill="1" applyBorder="1" applyAlignment="1" applyProtection="1">
      <alignment vertical="top"/>
    </xf>
    <xf numFmtId="0" fontId="7" fillId="5" borderId="3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center" vertical="top" wrapText="1"/>
    </xf>
    <xf numFmtId="0" fontId="7" fillId="5" borderId="4" xfId="0" quotePrefix="1" applyFont="1" applyFill="1" applyBorder="1" applyAlignment="1">
      <alignment horizontal="center" vertical="top"/>
    </xf>
    <xf numFmtId="0" fontId="7" fillId="5" borderId="4" xfId="0" applyFont="1" applyFill="1" applyBorder="1" applyAlignment="1">
      <alignment vertical="top" wrapText="1"/>
    </xf>
    <xf numFmtId="166" fontId="7" fillId="5" borderId="4" xfId="2" applyFont="1" applyFill="1" applyBorder="1" applyAlignment="1" applyProtection="1">
      <alignment vertical="top"/>
    </xf>
    <xf numFmtId="10" fontId="7" fillId="5" borderId="5" xfId="3" applyNumberFormat="1" applyFont="1" applyFill="1" applyBorder="1" applyAlignment="1">
      <alignment horizontal="right" vertical="top"/>
    </xf>
    <xf numFmtId="166" fontId="7" fillId="6" borderId="17" xfId="0" applyNumberFormat="1" applyFont="1" applyFill="1" applyBorder="1" applyAlignment="1">
      <alignment vertical="center"/>
    </xf>
    <xf numFmtId="10" fontId="10" fillId="6" borderId="16" xfId="3" applyNumberFormat="1" applyFont="1" applyFill="1" applyBorder="1" applyAlignment="1" applyProtection="1">
      <alignment horizontal="center" vertical="center"/>
    </xf>
    <xf numFmtId="9" fontId="9" fillId="8" borderId="5" xfId="3" applyNumberFormat="1" applyFont="1" applyFill="1" applyBorder="1" applyAlignment="1" applyProtection="1">
      <alignment horizontal="center" vertical="center"/>
    </xf>
    <xf numFmtId="164" fontId="10" fillId="0" borderId="23" xfId="1" applyFont="1" applyBorder="1" applyAlignment="1" applyProtection="1">
      <alignment vertical="center"/>
    </xf>
    <xf numFmtId="164" fontId="10" fillId="0" borderId="21" xfId="1" applyFont="1" applyBorder="1" applyAlignment="1" applyProtection="1">
      <alignment vertical="center"/>
    </xf>
    <xf numFmtId="164" fontId="10" fillId="0" borderId="21" xfId="1" applyFont="1" applyFill="1" applyBorder="1" applyAlignment="1" applyProtection="1">
      <alignment vertical="center"/>
    </xf>
    <xf numFmtId="164" fontId="10" fillId="0" borderId="26" xfId="1" applyFont="1" applyBorder="1" applyAlignment="1" applyProtection="1">
      <alignment vertical="center"/>
    </xf>
    <xf numFmtId="164" fontId="10" fillId="0" borderId="28" xfId="1" applyFont="1" applyBorder="1" applyAlignment="1" applyProtection="1">
      <alignment vertical="center"/>
    </xf>
    <xf numFmtId="0" fontId="11" fillId="0" borderId="24" xfId="0" applyFont="1" applyBorder="1" applyAlignment="1">
      <alignment horizontal="right" vertical="center"/>
    </xf>
    <xf numFmtId="0" fontId="11" fillId="0" borderId="22" xfId="0" applyFont="1" applyFill="1" applyBorder="1" applyAlignment="1">
      <alignment horizontal="right" vertical="center"/>
    </xf>
    <xf numFmtId="0" fontId="11" fillId="0" borderId="29" xfId="0" applyFont="1" applyBorder="1" applyAlignment="1">
      <alignment horizontal="right" vertical="center"/>
    </xf>
    <xf numFmtId="10" fontId="7" fillId="0" borderId="24" xfId="3" applyNumberFormat="1" applyFont="1" applyFill="1" applyBorder="1" applyAlignment="1">
      <alignment horizontal="right" vertical="center"/>
    </xf>
    <xf numFmtId="0" fontId="11" fillId="0" borderId="30" xfId="0" applyFont="1" applyBorder="1" applyAlignment="1">
      <alignment horizontal="right" vertical="center"/>
    </xf>
    <xf numFmtId="166" fontId="7" fillId="5" borderId="31" xfId="2" applyFont="1" applyFill="1" applyBorder="1" applyAlignment="1" applyProtection="1">
      <alignment vertical="top"/>
    </xf>
    <xf numFmtId="166" fontId="7" fillId="5" borderId="32" xfId="2" applyFont="1" applyFill="1" applyBorder="1" applyAlignment="1" applyProtection="1">
      <alignment vertical="top"/>
    </xf>
    <xf numFmtId="166" fontId="13" fillId="7" borderId="36" xfId="2" applyFont="1" applyFill="1" applyBorder="1" applyAlignment="1" applyProtection="1">
      <alignment horizontal="center" vertical="center" wrapText="1"/>
    </xf>
    <xf numFmtId="0" fontId="10" fillId="0" borderId="8" xfId="0" applyFont="1" applyBorder="1" applyAlignment="1">
      <alignment vertical="top"/>
    </xf>
    <xf numFmtId="44" fontId="9" fillId="7" borderId="35" xfId="0" applyNumberFormat="1" applyFont="1" applyFill="1" applyBorder="1" applyAlignment="1">
      <alignment horizontal="right" vertical="center" wrapText="1"/>
    </xf>
    <xf numFmtId="44" fontId="9" fillId="7" borderId="25" xfId="0" applyNumberFormat="1" applyFont="1" applyFill="1" applyBorder="1" applyAlignment="1">
      <alignment horizontal="right" vertical="center" wrapText="1"/>
    </xf>
    <xf numFmtId="0" fontId="2" fillId="0" borderId="0" xfId="0" applyFont="1"/>
    <xf numFmtId="0" fontId="10" fillId="0" borderId="0" xfId="0" applyFont="1" applyBorder="1" applyAlignment="1">
      <alignment vertical="top"/>
    </xf>
    <xf numFmtId="0" fontId="7" fillId="5" borderId="4" xfId="0" applyFont="1" applyFill="1" applyBorder="1" applyAlignment="1">
      <alignment vertical="top"/>
    </xf>
    <xf numFmtId="0" fontId="10" fillId="0" borderId="20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/>
    <xf numFmtId="0" fontId="10" fillId="0" borderId="16" xfId="0" applyFont="1" applyBorder="1" applyAlignment="1">
      <alignment horizontal="center" vertical="center" wrapText="1"/>
    </xf>
    <xf numFmtId="167" fontId="10" fillId="0" borderId="16" xfId="1" applyNumberFormat="1" applyFont="1" applyBorder="1" applyAlignment="1" applyProtection="1">
      <alignment vertical="center"/>
    </xf>
    <xf numFmtId="0" fontId="10" fillId="0" borderId="15" xfId="0" quotePrefix="1" applyFont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right" vertical="center"/>
    </xf>
    <xf numFmtId="164" fontId="10" fillId="9" borderId="6" xfId="1" applyFont="1" applyFill="1" applyBorder="1" applyAlignment="1" applyProtection="1">
      <alignment vertical="center"/>
    </xf>
    <xf numFmtId="0" fontId="10" fillId="9" borderId="15" xfId="0" applyFont="1" applyFill="1" applyBorder="1" applyAlignment="1">
      <alignment horizontal="center" vertical="center" wrapText="1"/>
    </xf>
    <xf numFmtId="0" fontId="10" fillId="9" borderId="15" xfId="0" quotePrefix="1" applyFont="1" applyFill="1" applyBorder="1" applyAlignment="1">
      <alignment horizontal="center" vertical="center" wrapText="1"/>
    </xf>
    <xf numFmtId="0" fontId="10" fillId="9" borderId="15" xfId="0" applyFont="1" applyFill="1" applyBorder="1" applyAlignment="1">
      <alignment vertical="center" wrapText="1"/>
    </xf>
    <xf numFmtId="165" fontId="10" fillId="9" borderId="15" xfId="0" applyNumberFormat="1" applyFont="1" applyFill="1" applyBorder="1" applyAlignment="1">
      <alignment horizontal="center" vertical="center" wrapText="1"/>
    </xf>
    <xf numFmtId="167" fontId="10" fillId="9" borderId="15" xfId="1" applyNumberFormat="1" applyFont="1" applyFill="1" applyBorder="1" applyAlignment="1" applyProtection="1">
      <alignment vertical="center"/>
    </xf>
    <xf numFmtId="164" fontId="10" fillId="9" borderId="15" xfId="1" applyFont="1" applyFill="1" applyBorder="1" applyAlignment="1" applyProtection="1">
      <alignment vertical="center"/>
    </xf>
    <xf numFmtId="0" fontId="10" fillId="9" borderId="15" xfId="0" quotePrefix="1" applyFont="1" applyFill="1" applyBorder="1" applyAlignment="1">
      <alignment horizontal="center" vertical="center"/>
    </xf>
    <xf numFmtId="0" fontId="10" fillId="9" borderId="16" xfId="0" applyFont="1" applyFill="1" applyBorder="1" applyAlignment="1">
      <alignment horizontal="center" vertical="center" wrapText="1"/>
    </xf>
    <xf numFmtId="0" fontId="10" fillId="9" borderId="16" xfId="0" quotePrefix="1" applyFont="1" applyFill="1" applyBorder="1" applyAlignment="1">
      <alignment horizontal="center" vertical="center"/>
    </xf>
    <xf numFmtId="0" fontId="10" fillId="9" borderId="16" xfId="0" applyFont="1" applyFill="1" applyBorder="1" applyAlignment="1">
      <alignment vertical="center" wrapText="1"/>
    </xf>
    <xf numFmtId="165" fontId="10" fillId="9" borderId="16" xfId="0" applyNumberFormat="1" applyFont="1" applyFill="1" applyBorder="1" applyAlignment="1">
      <alignment horizontal="center" vertical="center" wrapText="1"/>
    </xf>
    <xf numFmtId="167" fontId="10" fillId="9" borderId="16" xfId="1" applyNumberFormat="1" applyFont="1" applyFill="1" applyBorder="1" applyAlignment="1" applyProtection="1">
      <alignment vertical="center"/>
    </xf>
    <xf numFmtId="164" fontId="10" fillId="9" borderId="16" xfId="1" applyFont="1" applyFill="1" applyBorder="1" applyAlignment="1" applyProtection="1">
      <alignment vertical="center"/>
    </xf>
    <xf numFmtId="0" fontId="23" fillId="9" borderId="15" xfId="0" applyFont="1" applyFill="1" applyBorder="1" applyAlignment="1">
      <alignment horizontal="center" vertical="center" wrapText="1"/>
    </xf>
    <xf numFmtId="0" fontId="23" fillId="9" borderId="15" xfId="0" quotePrefix="1" applyFont="1" applyFill="1" applyBorder="1" applyAlignment="1">
      <alignment horizontal="center" vertical="center" wrapText="1"/>
    </xf>
    <xf numFmtId="0" fontId="23" fillId="9" borderId="15" xfId="0" applyFont="1" applyFill="1" applyBorder="1" applyAlignment="1">
      <alignment vertical="center" wrapText="1"/>
    </xf>
    <xf numFmtId="165" fontId="23" fillId="9" borderId="15" xfId="0" applyNumberFormat="1" applyFont="1" applyFill="1" applyBorder="1" applyAlignment="1">
      <alignment horizontal="center" vertical="center" wrapText="1"/>
    </xf>
    <xf numFmtId="167" fontId="23" fillId="9" borderId="15" xfId="1" applyNumberFormat="1" applyFont="1" applyFill="1" applyBorder="1" applyAlignment="1" applyProtection="1">
      <alignment vertical="center"/>
    </xf>
    <xf numFmtId="164" fontId="23" fillId="9" borderId="6" xfId="1" applyFont="1" applyFill="1" applyBorder="1" applyAlignment="1" applyProtection="1">
      <alignment vertical="center"/>
    </xf>
    <xf numFmtId="164" fontId="23" fillId="9" borderId="15" xfId="1" applyFont="1" applyFill="1" applyBorder="1" applyAlignment="1" applyProtection="1">
      <alignment vertical="center"/>
    </xf>
    <xf numFmtId="0" fontId="10" fillId="0" borderId="15" xfId="0" applyFont="1" applyFill="1" applyBorder="1" applyAlignment="1">
      <alignment horizontal="left" vertical="center" wrapText="1"/>
    </xf>
    <xf numFmtId="164" fontId="10" fillId="0" borderId="33" xfId="1" applyFont="1" applyFill="1" applyBorder="1" applyAlignment="1" applyProtection="1">
      <alignment vertical="center"/>
    </xf>
    <xf numFmtId="164" fontId="10" fillId="0" borderId="34" xfId="1" applyFont="1" applyFill="1" applyBorder="1" applyAlignment="1" applyProtection="1">
      <alignment vertical="center"/>
    </xf>
    <xf numFmtId="0" fontId="10" fillId="0" borderId="17" xfId="0" applyFont="1" applyFill="1" applyBorder="1" applyAlignment="1">
      <alignment horizontal="left" vertical="center" wrapText="1"/>
    </xf>
    <xf numFmtId="0" fontId="10" fillId="0" borderId="17" xfId="0" quotePrefix="1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vertical="center" wrapText="1"/>
    </xf>
    <xf numFmtId="165" fontId="10" fillId="0" borderId="17" xfId="0" applyNumberFormat="1" applyFont="1" applyFill="1" applyBorder="1" applyAlignment="1">
      <alignment horizontal="center" vertical="center" wrapText="1"/>
    </xf>
    <xf numFmtId="164" fontId="10" fillId="0" borderId="28" xfId="1" applyFont="1" applyFill="1" applyBorder="1" applyAlignment="1" applyProtection="1">
      <alignment vertical="center"/>
    </xf>
    <xf numFmtId="0" fontId="11" fillId="0" borderId="30" xfId="0" applyFont="1" applyFill="1" applyBorder="1" applyAlignment="1">
      <alignment horizontal="right" vertical="center"/>
    </xf>
    <xf numFmtId="0" fontId="17" fillId="0" borderId="11" xfId="0" quotePrefix="1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9" fillId="0" borderId="0" xfId="0" applyFont="1"/>
    <xf numFmtId="0" fontId="14" fillId="0" borderId="0" xfId="0" applyFont="1"/>
    <xf numFmtId="49" fontId="30" fillId="0" borderId="0" xfId="0" applyNumberFormat="1" applyFont="1" applyBorder="1" applyAlignment="1">
      <alignment vertical="center"/>
    </xf>
    <xf numFmtId="49" fontId="30" fillId="0" borderId="0" xfId="0" applyNumberFormat="1" applyFont="1" applyBorder="1" applyAlignment="1">
      <alignment horizontal="center" vertical="center" wrapText="1"/>
    </xf>
    <xf numFmtId="168" fontId="31" fillId="0" borderId="0" xfId="0" applyNumberFormat="1" applyFont="1" applyAlignment="1">
      <alignment vertical="top"/>
    </xf>
    <xf numFmtId="0" fontId="31" fillId="0" borderId="0" xfId="0" applyFont="1" applyAlignment="1">
      <alignment vertical="top"/>
    </xf>
    <xf numFmtId="0" fontId="30" fillId="0" borderId="0" xfId="0" applyFont="1" applyAlignment="1">
      <alignment vertical="center"/>
    </xf>
    <xf numFmtId="0" fontId="30" fillId="0" borderId="0" xfId="0" applyFont="1" applyAlignment="1">
      <alignment vertical="top"/>
    </xf>
    <xf numFmtId="0" fontId="32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164" fontId="5" fillId="0" borderId="0" xfId="1" applyBorder="1" applyAlignment="1">
      <alignment wrapText="1"/>
    </xf>
    <xf numFmtId="164" fontId="5" fillId="0" borderId="0" xfId="1" applyAlignment="1">
      <alignment wrapText="1"/>
    </xf>
    <xf numFmtId="164" fontId="5" fillId="0" borderId="0" xfId="1" applyBorder="1" applyAlignment="1" applyProtection="1">
      <alignment horizontal="center" vertical="top" wrapText="1"/>
    </xf>
    <xf numFmtId="165" fontId="33" fillId="5" borderId="4" xfId="0" applyNumberFormat="1" applyFont="1" applyFill="1" applyBorder="1" applyAlignment="1">
      <alignment horizontal="center" vertical="top" wrapText="1"/>
    </xf>
    <xf numFmtId="4" fontId="33" fillId="5" borderId="4" xfId="1" applyNumberFormat="1" applyFont="1" applyFill="1" applyBorder="1" applyAlignment="1" applyProtection="1">
      <alignment horizontal="center" vertical="top" wrapText="1"/>
    </xf>
    <xf numFmtId="0" fontId="22" fillId="0" borderId="0" xfId="0" applyFont="1"/>
    <xf numFmtId="0" fontId="34" fillId="0" borderId="0" xfId="0" applyFont="1"/>
    <xf numFmtId="0" fontId="0" fillId="0" borderId="0" xfId="0" applyFill="1"/>
    <xf numFmtId="0" fontId="0" fillId="0" borderId="0" xfId="0" applyFill="1" applyAlignment="1">
      <alignment wrapText="1"/>
    </xf>
    <xf numFmtId="17" fontId="17" fillId="0" borderId="2" xfId="0" quotePrefix="1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64" fontId="5" fillId="0" borderId="0" xfId="1" applyAlignment="1">
      <alignment horizontal="center" vertical="center" wrapText="1"/>
    </xf>
    <xf numFmtId="0" fontId="28" fillId="0" borderId="2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10" xfId="0" applyFont="1" applyBorder="1" applyAlignment="1"/>
    <xf numFmtId="0" fontId="6" fillId="0" borderId="12" xfId="0" applyFont="1" applyFill="1" applyBorder="1" applyAlignment="1">
      <alignment horizontal="center" vertical="center" wrapText="1"/>
    </xf>
    <xf numFmtId="4" fontId="6" fillId="0" borderId="12" xfId="1" applyNumberFormat="1" applyFont="1" applyFill="1" applyBorder="1" applyAlignment="1" applyProtection="1">
      <alignment horizontal="center" vertical="center" wrapText="1"/>
    </xf>
    <xf numFmtId="4" fontId="6" fillId="0" borderId="3" xfId="1" applyNumberFormat="1" applyFont="1" applyFill="1" applyBorder="1" applyAlignment="1" applyProtection="1">
      <alignment horizontal="center" vertical="center" wrapText="1"/>
    </xf>
    <xf numFmtId="4" fontId="6" fillId="0" borderId="37" xfId="1" applyNumberFormat="1" applyFont="1" applyFill="1" applyBorder="1" applyAlignment="1" applyProtection="1">
      <alignment horizontal="center" vertical="center" wrapText="1"/>
    </xf>
    <xf numFmtId="4" fontId="6" fillId="0" borderId="38" xfId="1" applyNumberFormat="1" applyFont="1" applyFill="1" applyBorder="1" applyAlignment="1" applyProtection="1">
      <alignment horizontal="center" vertical="center" wrapText="1"/>
    </xf>
    <xf numFmtId="4" fontId="6" fillId="0" borderId="39" xfId="1" applyNumberFormat="1" applyFont="1" applyFill="1" applyBorder="1" applyAlignment="1" applyProtection="1">
      <alignment horizontal="center" vertical="center" wrapText="1"/>
    </xf>
    <xf numFmtId="4" fontId="15" fillId="0" borderId="5" xfId="1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2" fillId="11" borderId="0" xfId="0" applyFont="1" applyFill="1" applyBorder="1" applyAlignment="1">
      <alignment vertical="top" wrapText="1"/>
    </xf>
    <xf numFmtId="164" fontId="6" fillId="0" borderId="0" xfId="1" applyFont="1" applyBorder="1" applyAlignment="1"/>
    <xf numFmtId="164" fontId="29" fillId="0" borderId="0" xfId="1" applyFont="1" applyAlignment="1">
      <alignment wrapText="1"/>
    </xf>
    <xf numFmtId="0" fontId="37" fillId="0" borderId="0" xfId="0" applyFont="1" applyAlignment="1">
      <alignment vertical="center"/>
    </xf>
    <xf numFmtId="164" fontId="14" fillId="0" borderId="0" xfId="1" applyFont="1" applyAlignment="1">
      <alignment wrapText="1"/>
    </xf>
    <xf numFmtId="0" fontId="37" fillId="0" borderId="0" xfId="0" applyFont="1"/>
    <xf numFmtId="164" fontId="14" fillId="0" borderId="2" xfId="1" applyFont="1" applyBorder="1" applyAlignment="1">
      <alignment wrapText="1"/>
    </xf>
    <xf numFmtId="164" fontId="2" fillId="0" borderId="0" xfId="1" applyFont="1" applyAlignment="1"/>
    <xf numFmtId="169" fontId="38" fillId="0" borderId="0" xfId="3" applyNumberFormat="1" applyFont="1" applyBorder="1" applyAlignment="1">
      <alignment horizontal="center"/>
    </xf>
    <xf numFmtId="0" fontId="39" fillId="0" borderId="0" xfId="0" applyFont="1" applyFill="1" applyBorder="1" applyAlignment="1">
      <alignment vertical="center"/>
    </xf>
    <xf numFmtId="44" fontId="39" fillId="0" borderId="0" xfId="0" applyNumberFormat="1" applyFont="1" applyFill="1" applyBorder="1" applyAlignment="1">
      <alignment vertical="center"/>
    </xf>
    <xf numFmtId="164" fontId="2" fillId="0" borderId="0" xfId="1" applyFont="1" applyBorder="1" applyAlignment="1">
      <alignment horizontal="right"/>
    </xf>
    <xf numFmtId="170" fontId="5" fillId="0" borderId="40" xfId="1" applyNumberFormat="1" applyBorder="1" applyAlignment="1">
      <alignment horizontal="right"/>
    </xf>
    <xf numFmtId="0" fontId="35" fillId="0" borderId="0" xfId="0" applyFont="1" applyBorder="1"/>
    <xf numFmtId="0" fontId="2" fillId="11" borderId="0" xfId="0" applyFont="1" applyFill="1" applyBorder="1" applyAlignment="1">
      <alignment horizontal="right" vertical="top" wrapText="1"/>
    </xf>
    <xf numFmtId="0" fontId="6" fillId="11" borderId="0" xfId="0" applyFont="1" applyFill="1" applyBorder="1" applyAlignment="1">
      <alignment horizontal="left" vertical="top"/>
    </xf>
    <xf numFmtId="0" fontId="2" fillId="11" borderId="0" xfId="0" applyFont="1" applyFill="1" applyBorder="1" applyAlignment="1">
      <alignment horizontal="left" vertical="top" wrapText="1"/>
    </xf>
    <xf numFmtId="0" fontId="36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7" fillId="0" borderId="27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right" vertical="center" wrapText="1"/>
    </xf>
    <xf numFmtId="17" fontId="17" fillId="0" borderId="10" xfId="0" quotePrefix="1" applyNumberFormat="1" applyFont="1" applyBorder="1" applyAlignment="1">
      <alignment horizontal="center" vertical="center" wrapText="1"/>
    </xf>
    <xf numFmtId="17" fontId="17" fillId="0" borderId="11" xfId="0" quotePrefix="1" applyNumberFormat="1" applyFont="1" applyBorder="1" applyAlignment="1">
      <alignment horizontal="center" vertical="center" wrapText="1"/>
    </xf>
    <xf numFmtId="10" fontId="5" fillId="11" borderId="10" xfId="3" quotePrefix="1" applyNumberFormat="1" applyFill="1" applyBorder="1" applyAlignment="1">
      <alignment horizontal="center"/>
    </xf>
    <xf numFmtId="10" fontId="5" fillId="11" borderId="11" xfId="3" quotePrefix="1" applyNumberFormat="1" applyFill="1" applyBorder="1" applyAlignment="1">
      <alignment horizontal="center"/>
    </xf>
    <xf numFmtId="0" fontId="9" fillId="7" borderId="3" xfId="0" applyFont="1" applyFill="1" applyBorder="1" applyAlignment="1">
      <alignment horizontal="right" vertical="center" wrapText="1"/>
    </xf>
    <xf numFmtId="0" fontId="9" fillId="7" borderId="4" xfId="0" applyFont="1" applyFill="1" applyBorder="1" applyAlignment="1">
      <alignment horizontal="right" vertical="center" wrapText="1"/>
    </xf>
    <xf numFmtId="164" fontId="23" fillId="0" borderId="0" xfId="1" applyFont="1" applyFill="1" applyBorder="1" applyAlignment="1" applyProtection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right" vertical="center" wrapText="1"/>
    </xf>
    <xf numFmtId="0" fontId="2" fillId="0" borderId="8" xfId="0" applyFont="1" applyFill="1" applyBorder="1" applyAlignment="1">
      <alignment horizontal="right" vertical="center" wrapText="1"/>
    </xf>
    <xf numFmtId="0" fontId="2" fillId="0" borderId="10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10" borderId="0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17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18" fillId="0" borderId="13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16" xfId="0" applyFont="1" applyFill="1" applyBorder="1" applyAlignment="1">
      <alignment horizontal="left" vertical="top" wrapText="1"/>
    </xf>
    <xf numFmtId="166" fontId="7" fillId="0" borderId="6" xfId="2" applyFont="1" applyFill="1" applyBorder="1" applyAlignment="1" applyProtection="1">
      <alignment horizontal="center" vertical="top"/>
    </xf>
    <xf numFmtId="166" fontId="7" fillId="0" borderId="16" xfId="2" applyFont="1" applyFill="1" applyBorder="1" applyAlignment="1" applyProtection="1">
      <alignment horizontal="center" vertical="top"/>
    </xf>
    <xf numFmtId="10" fontId="7" fillId="0" borderId="6" xfId="3" applyNumberFormat="1" applyFont="1" applyFill="1" applyBorder="1" applyAlignment="1" applyProtection="1">
      <alignment horizontal="center" vertical="top"/>
    </xf>
    <xf numFmtId="10" fontId="7" fillId="0" borderId="16" xfId="3" applyNumberFormat="1" applyFont="1" applyFill="1" applyBorder="1" applyAlignment="1" applyProtection="1">
      <alignment horizontal="center" vertical="top"/>
    </xf>
    <xf numFmtId="164" fontId="23" fillId="0" borderId="0" xfId="1" applyFont="1" applyBorder="1" applyAlignment="1" applyProtection="1">
      <alignment horizontal="center" vertical="center"/>
    </xf>
    <xf numFmtId="0" fontId="7" fillId="0" borderId="6" xfId="0" applyFont="1" applyFill="1" applyBorder="1" applyAlignment="1">
      <alignment horizontal="center" vertical="top"/>
    </xf>
    <xf numFmtId="0" fontId="7" fillId="0" borderId="16" xfId="0" applyFont="1" applyFill="1" applyBorder="1" applyAlignment="1">
      <alignment horizontal="center" vertical="top"/>
    </xf>
    <xf numFmtId="0" fontId="7" fillId="6" borderId="17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/>
    </xf>
    <xf numFmtId="166" fontId="9" fillId="6" borderId="17" xfId="2" applyFont="1" applyFill="1" applyBorder="1" applyAlignment="1" applyProtection="1">
      <alignment horizontal="center" vertical="center"/>
    </xf>
    <xf numFmtId="166" fontId="9" fillId="6" borderId="16" xfId="2" applyFont="1" applyFill="1" applyBorder="1" applyAlignment="1" applyProtection="1">
      <alignment horizontal="center" vertical="center"/>
    </xf>
    <xf numFmtId="10" fontId="7" fillId="6" borderId="17" xfId="0" applyNumberFormat="1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166" fontId="7" fillId="0" borderId="15" xfId="2" applyFont="1" applyFill="1" applyBorder="1" applyAlignment="1" applyProtection="1">
      <alignment horizontal="center" vertical="center"/>
    </xf>
    <xf numFmtId="166" fontId="7" fillId="0" borderId="16" xfId="2" applyFont="1" applyFill="1" applyBorder="1" applyAlignment="1" applyProtection="1">
      <alignment horizontal="center" vertical="center"/>
    </xf>
    <xf numFmtId="0" fontId="7" fillId="0" borderId="17" xfId="0" applyFont="1" applyFill="1" applyBorder="1" applyAlignment="1">
      <alignment horizontal="center" vertical="top"/>
    </xf>
    <xf numFmtId="0" fontId="7" fillId="0" borderId="17" xfId="0" applyFont="1" applyFill="1" applyBorder="1" applyAlignment="1">
      <alignment horizontal="left" vertical="top" wrapText="1"/>
    </xf>
    <xf numFmtId="10" fontId="7" fillId="0" borderId="17" xfId="3" applyNumberFormat="1" applyFont="1" applyFill="1" applyBorder="1" applyAlignment="1" applyProtection="1">
      <alignment horizontal="center" vertical="top"/>
    </xf>
    <xf numFmtId="0" fontId="7" fillId="0" borderId="17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4" fontId="9" fillId="0" borderId="17" xfId="1" applyNumberFormat="1" applyFont="1" applyFill="1" applyBorder="1" applyAlignment="1" applyProtection="1">
      <alignment horizontal="center" vertical="center" wrapText="1"/>
    </xf>
    <xf numFmtId="4" fontId="9" fillId="0" borderId="16" xfId="1" applyNumberFormat="1" applyFont="1" applyFill="1" applyBorder="1" applyAlignment="1" applyProtection="1">
      <alignment horizontal="center" vertical="center" wrapText="1"/>
    </xf>
    <xf numFmtId="166" fontId="7" fillId="0" borderId="17" xfId="2" applyFont="1" applyFill="1" applyBorder="1" applyAlignment="1" applyProtection="1">
      <alignment horizontal="center" vertical="top"/>
    </xf>
    <xf numFmtId="0" fontId="21" fillId="0" borderId="27" xfId="0" applyFont="1" applyFill="1" applyBorder="1" applyAlignment="1">
      <alignment horizontal="right" wrapText="1"/>
    </xf>
  </cellXfs>
  <cellStyles count="5">
    <cellStyle name="Moeda" xfId="2" builtinId="4"/>
    <cellStyle name="Normal" xfId="0" builtinId="0"/>
    <cellStyle name="Normal 2" xfId="4"/>
    <cellStyle name="Porcentagem" xfId="3" builtinId="5"/>
    <cellStyle name="Vírgula" xfId="1" builtinId="3"/>
  </cellStyles>
  <dxfs count="38">
    <dxf>
      <font>
        <color auto="1"/>
      </font>
      <fill>
        <patternFill>
          <bgColor theme="4" tint="0.59996337778862885"/>
        </patternFill>
      </fill>
    </dxf>
    <dxf>
      <font>
        <color auto="1"/>
      </font>
      <fill>
        <patternFill>
          <bgColor theme="4" tint="0.59996337778862885"/>
        </patternFill>
      </fill>
    </dxf>
    <dxf>
      <font>
        <color auto="1"/>
      </font>
      <fill>
        <patternFill>
          <bgColor theme="4" tint="0.59996337778862885"/>
        </patternFill>
      </fill>
    </dxf>
    <dxf>
      <font>
        <color auto="1"/>
      </font>
      <fill>
        <patternFill>
          <bgColor theme="4" tint="0.59996337778862885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4274"/>
      <color rgb="FF003399"/>
      <color rgb="FF5F9ED7"/>
      <color rgb="FF33CCFF"/>
      <color rgb="FF3399FF"/>
      <color rgb="FFDFED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checked="Checked" fmlaLink="#REF!" lockText="1" noThreeD="1"/>
</file>

<file path=xl/ctrlProps/ctrlProp2.xml><?xml version="1.0" encoding="utf-8"?>
<formControlPr xmlns="http://schemas.microsoft.com/office/spreadsheetml/2009/9/main" objectType="CheckBox" fmlaLink="#REF!" lockText="1" noThreeD="1"/>
</file>

<file path=xl/ctrlProps/ctrlProp3.xml><?xml version="1.0" encoding="utf-8"?>
<formControlPr xmlns="http://schemas.microsoft.com/office/spreadsheetml/2009/9/main" objectType="CheckBox" checked="Checked" fmlaLink="#REF!" lockText="1" noThreeD="1"/>
</file>

<file path=xl/ctrlProps/ctrlProp4.xml><?xml version="1.0" encoding="utf-8"?>
<formControlPr xmlns="http://schemas.microsoft.com/office/spreadsheetml/2009/9/main" objectType="CheckBox" fmlaLink="#REF!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1203293</xdr:colOff>
      <xdr:row>56</xdr:row>
      <xdr:rowOff>117951</xdr:rowOff>
    </xdr:from>
    <xdr:ext cx="3279424" cy="32861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xmlns="" id="{00000000-0008-0000-0700-000002000000}"/>
                </a:ext>
              </a:extLst>
            </xdr:cNvPr>
            <xdr:cNvSpPr txBox="1"/>
          </xdr:nvSpPr>
          <xdr:spPr>
            <a:xfrm>
              <a:off x="2584418" y="5137626"/>
              <a:ext cx="3279424" cy="32861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pt-BR" sz="1100" b="0" i="0">
                        <a:latin typeface="Cambria Math" panose="02040503050406030204" pitchFamily="18" charset="0"/>
                      </a:rPr>
                      <m:t>BDI</m:t>
                    </m:r>
                    <m:r>
                      <a:rPr lang="pt-BR" sz="1100" b="0" i="0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pt-BR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d>
                          <m:dPr>
                            <m:ctrlPr>
                              <a:rPr lang="pt-BR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pt-BR" sz="1100" b="0" i="0">
                                <a:latin typeface="Cambria Math" panose="02040503050406030204" pitchFamily="18" charset="0"/>
                              </a:rPr>
                              <m:t>1+</m:t>
                            </m:r>
                            <m:r>
                              <m:rPr>
                                <m:sty m:val="p"/>
                              </m:rPr>
                              <a:rPr lang="pt-BR" sz="1100" b="0" i="0">
                                <a:latin typeface="Cambria Math" panose="02040503050406030204" pitchFamily="18" charset="0"/>
                              </a:rPr>
                              <m:t>AC</m:t>
                            </m:r>
                            <m:r>
                              <a:rPr lang="pt-BR" sz="1100" b="0" i="0">
                                <a:latin typeface="Cambria Math" panose="02040503050406030204" pitchFamily="18" charset="0"/>
                              </a:rPr>
                              <m:t>+</m:t>
                            </m:r>
                            <m:r>
                              <m:rPr>
                                <m:sty m:val="p"/>
                              </m:rPr>
                              <a:rPr lang="pt-BR" sz="1100" b="0" i="0">
                                <a:latin typeface="Cambria Math" panose="02040503050406030204" pitchFamily="18" charset="0"/>
                              </a:rPr>
                              <m:t>S</m:t>
                            </m:r>
                            <m:r>
                              <a:rPr lang="pt-BR" sz="1100" b="0" i="0">
                                <a:latin typeface="Cambria Math" panose="02040503050406030204" pitchFamily="18" charset="0"/>
                              </a:rPr>
                              <m:t>+</m:t>
                            </m:r>
                            <m:r>
                              <m:rPr>
                                <m:sty m:val="p"/>
                              </m:rPr>
                              <a:rPr lang="pt-BR" sz="1100" b="0" i="0">
                                <a:latin typeface="Cambria Math" panose="02040503050406030204" pitchFamily="18" charset="0"/>
                              </a:rPr>
                              <m:t>R</m:t>
                            </m:r>
                            <m:r>
                              <a:rPr lang="pt-BR" sz="1100" b="0" i="0">
                                <a:latin typeface="Cambria Math" panose="02040503050406030204" pitchFamily="18" charset="0"/>
                              </a:rPr>
                              <m:t>+</m:t>
                            </m:r>
                            <m:r>
                              <m:rPr>
                                <m:sty m:val="p"/>
                              </m:rPr>
                              <a:rPr lang="pt-BR" sz="1100" b="0" i="0">
                                <a:latin typeface="Cambria Math" panose="02040503050406030204" pitchFamily="18" charset="0"/>
                              </a:rPr>
                              <m:t>G</m:t>
                            </m:r>
                          </m:e>
                        </m:d>
                        <m:r>
                          <a:rPr lang="pt-BR" sz="1100" b="0" i="0">
                            <a:latin typeface="Cambria Math" panose="02040503050406030204" pitchFamily="18" charset="0"/>
                          </a:rPr>
                          <m:t>∗</m:t>
                        </m:r>
                        <m:d>
                          <m:dPr>
                            <m:ctrlPr>
                              <a:rPr lang="pt-BR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pt-BR" sz="1100" b="0" i="0">
                                <a:latin typeface="Cambria Math" panose="02040503050406030204" pitchFamily="18" charset="0"/>
                              </a:rPr>
                              <m:t>1+</m:t>
                            </m:r>
                            <m:r>
                              <m:rPr>
                                <m:sty m:val="p"/>
                              </m:rPr>
                              <a:rPr lang="pt-BR" sz="1100" b="0" i="0">
                                <a:latin typeface="Cambria Math" panose="02040503050406030204" pitchFamily="18" charset="0"/>
                              </a:rPr>
                              <m:t>DF</m:t>
                            </m:r>
                          </m:e>
                        </m:d>
                        <m:r>
                          <a:rPr lang="pt-BR" sz="1100" b="0" i="0">
                            <a:latin typeface="Cambria Math" panose="02040503050406030204" pitchFamily="18" charset="0"/>
                          </a:rPr>
                          <m:t>∗</m:t>
                        </m:r>
                        <m:d>
                          <m:dPr>
                            <m:ctrlPr>
                              <a:rPr lang="pt-BR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pt-BR" sz="1100" b="0" i="0">
                                <a:latin typeface="Cambria Math" panose="02040503050406030204" pitchFamily="18" charset="0"/>
                              </a:rPr>
                              <m:t>1+</m:t>
                            </m:r>
                            <m:r>
                              <m:rPr>
                                <m:sty m:val="p"/>
                              </m:rPr>
                              <a:rPr lang="pt-BR" sz="1100" b="0" i="0">
                                <a:latin typeface="Cambria Math" panose="02040503050406030204" pitchFamily="18" charset="0"/>
                              </a:rPr>
                              <m:t>L</m:t>
                            </m:r>
                          </m:e>
                        </m:d>
                      </m:num>
                      <m:den>
                        <m:r>
                          <a:rPr lang="pt-BR" sz="1100" b="0" i="0">
                            <a:latin typeface="Cambria Math" panose="02040503050406030204" pitchFamily="18" charset="0"/>
                          </a:rPr>
                          <m:t>1−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CP</m:t>
                        </m:r>
                        <m:r>
                          <a:rPr lang="pt-BR" sz="1100" b="0" i="0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ISS</m:t>
                        </m:r>
                        <m:r>
                          <a:rPr lang="pt-BR" sz="1100" b="0" i="0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CRPB</m:t>
                        </m:r>
                      </m:den>
                    </m:f>
                    <m:r>
                      <a:rPr lang="pt-BR" sz="1100" b="0" i="0">
                        <a:latin typeface="Cambria Math" panose="02040503050406030204" pitchFamily="18" charset="0"/>
                      </a:rPr>
                      <m:t>−1</m:t>
                    </m:r>
                  </m:oMath>
                </m:oMathPara>
              </a14:m>
              <a:endParaRPr lang="pt-BR" sz="1100" b="0" i="0">
                <a:latin typeface="Cambria" panose="02040503050406030204" pitchFamily="18" charset="0"/>
                <a:ea typeface="Cambria" panose="02040503050406030204" pitchFamily="18" charset="0"/>
              </a:endParaRPr>
            </a:p>
          </xdr:txBody>
        </xdr:sp>
      </mc:Choice>
      <mc:Fallback xmlns="">
        <xdr:sp macro="" textlink="">
          <xdr:nvSpPr>
            <xdr:cNvPr id="2" name="CaixaDeTexto 1"/>
            <xdr:cNvSpPr txBox="1"/>
          </xdr:nvSpPr>
          <xdr:spPr>
            <a:xfrm>
              <a:off x="2584418" y="5137626"/>
              <a:ext cx="3279424" cy="32861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pt-BR" sz="1100" b="0" i="0">
                  <a:latin typeface="Cambria Math" panose="02040503050406030204" pitchFamily="18" charset="0"/>
                </a:rPr>
                <a:t>BDI=((1+AC+S+R+G)∗(1+DF)∗(1+L))/(1−CP−ISS−CRPB)−1</a:t>
              </a:r>
              <a:endParaRPr lang="pt-BR" sz="1100" b="0" i="0">
                <a:latin typeface="Cambria" panose="02040503050406030204" pitchFamily="18" charset="0"/>
                <a:ea typeface="Cambria" panose="02040503050406030204" pitchFamily="18" charset="0"/>
              </a:endParaRPr>
            </a:p>
          </xdr:txBody>
        </xdr:sp>
      </mc:Fallback>
    </mc:AlternateContent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30</xdr:row>
          <xdr:rowOff>0</xdr:rowOff>
        </xdr:from>
        <xdr:to>
          <xdr:col>0</xdr:col>
          <xdr:colOff>314325</xdr:colOff>
          <xdr:row>31</xdr:row>
          <xdr:rowOff>0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xmlns="" id="{00000000-0008-0000-07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30</xdr:row>
          <xdr:rowOff>180975</xdr:rowOff>
        </xdr:from>
        <xdr:to>
          <xdr:col>0</xdr:col>
          <xdr:colOff>314325</xdr:colOff>
          <xdr:row>32</xdr:row>
          <xdr:rowOff>19050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xmlns="" id="{00000000-0008-0000-07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50</xdr:row>
          <xdr:rowOff>0</xdr:rowOff>
        </xdr:from>
        <xdr:to>
          <xdr:col>0</xdr:col>
          <xdr:colOff>314325</xdr:colOff>
          <xdr:row>51</xdr:row>
          <xdr:rowOff>47625</xdr:rowOff>
        </xdr:to>
        <xdr:sp macro="" textlink="">
          <xdr:nvSpPr>
            <xdr:cNvPr id="9223" name="Check Box 7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xmlns="" id="{00000000-0008-0000-0700-00000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50</xdr:row>
          <xdr:rowOff>180975</xdr:rowOff>
        </xdr:from>
        <xdr:to>
          <xdr:col>0</xdr:col>
          <xdr:colOff>314325</xdr:colOff>
          <xdr:row>52</xdr:row>
          <xdr:rowOff>19050</xdr:rowOff>
        </xdr:to>
        <xdr:sp macro="" textlink="">
          <xdr:nvSpPr>
            <xdr:cNvPr id="9224" name="Check Box 8" hidden="1">
              <a:extLst>
                <a:ext uri="{63B3BB69-23CF-44E3-9099-C40C66FF867C}">
                  <a14:compatExt spid="_x0000_s9224"/>
                </a:ext>
                <a:ext uri="{FF2B5EF4-FFF2-40B4-BE49-F238E27FC236}">
                  <a16:creationId xmlns:a16="http://schemas.microsoft.com/office/drawing/2014/main" xmlns="" id="{00000000-0008-0000-0700-00000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pper-fs\GPP\Users\gpp002\OneDrive\Engenharia_PMSA\PROJETOS\2019.003%20-%20REFORMA%20GINASIO%20MARIO%20COVAS\LICITA&#199;&#195;O_R01\PM_V3.0.5-GMC-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DADOS"/>
      <sheetName val="NOVO"/>
      <sheetName val="BDI"/>
      <sheetName val="ORÇAMENTO"/>
      <sheetName val="CÁLCULO"/>
      <sheetName val="EVENTOS"/>
      <sheetName val="CRONO"/>
      <sheetName val="CRONOPLE"/>
      <sheetName val="PLE"/>
      <sheetName val="QCI"/>
      <sheetName val="BM"/>
      <sheetName val="RRE"/>
      <sheetName val="OFÍCIO"/>
      <sheetName val="COMPOSIÇÕES"/>
    </sheetNames>
    <sheetDataSet>
      <sheetData sheetId="0"/>
      <sheetData sheetId="1">
        <row r="18">
          <cell r="F18" t="str">
            <v>DESONERADO</v>
          </cell>
        </row>
      </sheetData>
      <sheetData sheetId="2"/>
      <sheetData sheetId="3">
        <row r="138">
          <cell r="A138" t="str">
            <v>(SELECIONAR)</v>
          </cell>
        </row>
        <row r="139">
          <cell r="A139" t="str">
            <v>Construção e Reforma de Edifícios</v>
          </cell>
        </row>
        <row r="140">
          <cell r="A140" t="str">
            <v>Construção de Praças Urbanas, Rodovias, Ferrovias e recapeamento e pavimentação de vias urbanas</v>
          </cell>
        </row>
        <row r="141">
          <cell r="A141" t="str">
            <v>Construção de Redes de Abastecimento de Água, Coleta de Esgoto</v>
          </cell>
        </row>
        <row r="142">
          <cell r="A142" t="str">
            <v>Construção e Manutenção de Estações e Redes de Distribuição de Energia Elétrica</v>
          </cell>
        </row>
        <row r="143">
          <cell r="A143" t="str">
            <v>Obras Portuárias, Marítimas e Fluviais</v>
          </cell>
        </row>
        <row r="144">
          <cell r="A144" t="str">
            <v>Fornecimento de Materiais e Equipamentos (aquisição indireta - em conjunto com licitação de obras)</v>
          </cell>
        </row>
        <row r="145">
          <cell r="A145" t="str">
            <v>Fornecimento de Materiais e Equipamentos (aquisição direta)</v>
          </cell>
        </row>
        <row r="146">
          <cell r="A146" t="str">
            <v>Estudos e Projetos, Planos e Gerenciamento e outros correlatos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5"/>
  <sheetViews>
    <sheetView showGridLines="0" tabSelected="1" view="pageBreakPreview" zoomScaleNormal="100" zoomScaleSheetLayoutView="100" workbookViewId="0">
      <selection sqref="A1:C1"/>
    </sheetView>
  </sheetViews>
  <sheetFormatPr defaultRowHeight="12.75" x14ac:dyDescent="0.2"/>
  <cols>
    <col min="1" max="1" width="6.28515625" customWidth="1"/>
    <col min="2" max="2" width="10.42578125" customWidth="1"/>
    <col min="3" max="3" width="9.7109375" bestFit="1" customWidth="1"/>
    <col min="4" max="4" width="45.42578125" style="112" customWidth="1"/>
    <col min="5" max="5" width="7.85546875" customWidth="1"/>
    <col min="6" max="6" width="9.7109375" customWidth="1"/>
    <col min="7" max="7" width="11.140625" bestFit="1" customWidth="1"/>
    <col min="8" max="8" width="9.7109375" customWidth="1"/>
    <col min="9" max="9" width="11.140625" bestFit="1" customWidth="1"/>
    <col min="10" max="11" width="17.7109375" customWidth="1"/>
    <col min="12" max="12" width="20.7109375" customWidth="1"/>
    <col min="13" max="13" width="10.5703125" bestFit="1" customWidth="1"/>
    <col min="14" max="14" width="12.140625" style="242" bestFit="1" customWidth="1"/>
    <col min="15" max="15" width="10.7109375" style="244" customWidth="1"/>
    <col min="16" max="16" width="11.85546875" style="244" hidden="1" customWidth="1"/>
    <col min="17" max="17" width="12.85546875" style="244" hidden="1" customWidth="1"/>
    <col min="18" max="18" width="11.85546875" style="244" hidden="1" customWidth="1"/>
    <col min="19" max="19" width="9.140625" style="242" hidden="1" customWidth="1"/>
    <col min="20" max="16384" width="9.140625" style="242"/>
  </cols>
  <sheetData>
    <row r="1" spans="1:18" s="234" customFormat="1" ht="84.95" customHeight="1" thickBot="1" x14ac:dyDescent="0.25">
      <c r="A1" s="294" t="s">
        <v>512</v>
      </c>
      <c r="B1" s="294"/>
      <c r="C1" s="294"/>
      <c r="D1" s="295" t="s">
        <v>513</v>
      </c>
      <c r="E1" s="296"/>
      <c r="F1" s="296"/>
      <c r="G1" s="296"/>
      <c r="H1" s="296"/>
      <c r="I1" s="296"/>
      <c r="J1" s="297" t="s">
        <v>540</v>
      </c>
      <c r="K1" s="297"/>
      <c r="L1" s="297"/>
      <c r="M1" s="297"/>
      <c r="O1" s="243"/>
      <c r="P1" s="243"/>
      <c r="Q1" s="243"/>
      <c r="R1" s="243"/>
    </row>
    <row r="2" spans="1:18" s="234" customFormat="1" ht="14.25" x14ac:dyDescent="0.2">
      <c r="A2" s="45"/>
      <c r="B2" s="45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8" s="234" customFormat="1" ht="15" customHeight="1" x14ac:dyDescent="0.2">
      <c r="A3" s="55" t="s">
        <v>8</v>
      </c>
      <c r="B3" s="56"/>
      <c r="C3" s="57"/>
      <c r="D3" s="57"/>
      <c r="E3" s="58"/>
      <c r="F3" s="60" t="s">
        <v>9</v>
      </c>
      <c r="G3" s="257"/>
      <c r="H3" s="257"/>
      <c r="I3" s="257"/>
      <c r="J3" s="257"/>
      <c r="K3" s="257"/>
      <c r="L3" s="257"/>
      <c r="M3" s="258"/>
    </row>
    <row r="4" spans="1:18" s="234" customFormat="1" x14ac:dyDescent="0.2">
      <c r="A4" s="289" t="s">
        <v>10</v>
      </c>
      <c r="B4" s="290"/>
      <c r="C4" s="290"/>
      <c r="D4" s="290"/>
      <c r="E4" s="291"/>
      <c r="F4" s="261" t="s">
        <v>542</v>
      </c>
      <c r="G4" s="259"/>
      <c r="H4" s="259"/>
      <c r="I4" s="259"/>
      <c r="J4" s="259"/>
      <c r="K4" s="259"/>
      <c r="L4" s="259"/>
      <c r="M4" s="260"/>
    </row>
    <row r="5" spans="1:18" s="234" customFormat="1" ht="7.5" customHeight="1" x14ac:dyDescent="0.2">
      <c r="A5" s="56"/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O5" s="243"/>
      <c r="P5" s="243"/>
      <c r="Q5" s="243"/>
      <c r="R5" s="243"/>
    </row>
    <row r="6" spans="1:18" s="234" customFormat="1" ht="13.5" thickBot="1" x14ac:dyDescent="0.25">
      <c r="A6" s="55" t="s">
        <v>11</v>
      </c>
      <c r="B6" s="56"/>
      <c r="C6" s="57"/>
      <c r="D6" s="57"/>
      <c r="E6" s="57"/>
      <c r="F6" s="62" t="s">
        <v>12</v>
      </c>
      <c r="G6" s="62" t="s">
        <v>13</v>
      </c>
      <c r="H6" s="188" t="s">
        <v>14</v>
      </c>
      <c r="I6" s="188" t="s">
        <v>15</v>
      </c>
      <c r="J6" s="292" t="s">
        <v>16</v>
      </c>
      <c r="K6" s="293"/>
      <c r="L6" s="292" t="s">
        <v>514</v>
      </c>
      <c r="M6" s="293"/>
      <c r="P6" s="243"/>
      <c r="Q6" s="243"/>
      <c r="R6" s="282" t="s">
        <v>546</v>
      </c>
    </row>
    <row r="7" spans="1:18" s="234" customFormat="1" ht="13.5" thickBot="1" x14ac:dyDescent="0.25">
      <c r="A7" s="289" t="s">
        <v>17</v>
      </c>
      <c r="B7" s="290"/>
      <c r="C7" s="290"/>
      <c r="D7" s="290"/>
      <c r="E7" s="290"/>
      <c r="F7" s="64">
        <f>'ANEXO IX.2 - BDI'!D31</f>
        <v>0.25</v>
      </c>
      <c r="G7" s="64">
        <f>'ANEXO IX.2 - BDI'!D51</f>
        <v>0.14019999999999999</v>
      </c>
      <c r="H7" s="65" t="s">
        <v>18</v>
      </c>
      <c r="I7" s="65" t="s">
        <v>18</v>
      </c>
      <c r="J7" s="298">
        <v>46235</v>
      </c>
      <c r="K7" s="299"/>
      <c r="L7" s="300"/>
      <c r="M7" s="301"/>
      <c r="P7" s="243"/>
      <c r="Q7" s="243"/>
      <c r="R7" s="283">
        <v>0.83614175394713375</v>
      </c>
    </row>
    <row r="8" spans="1:18" s="234" customFormat="1" ht="15" customHeight="1" thickBot="1" x14ac:dyDescent="0.25">
      <c r="A8" s="56"/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O8" s="272" t="s">
        <v>543</v>
      </c>
      <c r="P8" s="243"/>
      <c r="Q8" s="243"/>
      <c r="R8" s="243"/>
    </row>
    <row r="9" spans="1:18" s="235" customFormat="1" ht="54.95" customHeight="1" x14ac:dyDescent="0.2">
      <c r="A9" s="262" t="s">
        <v>19</v>
      </c>
      <c r="B9" s="262" t="s">
        <v>20</v>
      </c>
      <c r="C9" s="262" t="s">
        <v>21</v>
      </c>
      <c r="D9" s="262" t="s">
        <v>22</v>
      </c>
      <c r="E9" s="262" t="s">
        <v>23</v>
      </c>
      <c r="F9" s="263" t="s">
        <v>24</v>
      </c>
      <c r="G9" s="263" t="s">
        <v>25</v>
      </c>
      <c r="H9" s="263" t="s">
        <v>0</v>
      </c>
      <c r="I9" s="264" t="s">
        <v>26</v>
      </c>
      <c r="J9" s="265" t="s">
        <v>27</v>
      </c>
      <c r="K9" s="266" t="s">
        <v>28</v>
      </c>
      <c r="L9" s="267" t="s">
        <v>29</v>
      </c>
      <c r="M9" s="268" t="s">
        <v>30</v>
      </c>
      <c r="O9" s="245" t="s">
        <v>25</v>
      </c>
      <c r="P9" s="245" t="s">
        <v>27</v>
      </c>
      <c r="Q9" s="245" t="s">
        <v>28</v>
      </c>
      <c r="R9" s="245" t="s">
        <v>29</v>
      </c>
    </row>
    <row r="10" spans="1:18" s="237" customFormat="1" ht="30" customHeight="1" x14ac:dyDescent="0.2">
      <c r="A10" s="159">
        <v>1</v>
      </c>
      <c r="B10" s="160"/>
      <c r="C10" s="161"/>
      <c r="D10" s="162" t="s">
        <v>32</v>
      </c>
      <c r="E10" s="246"/>
      <c r="F10" s="247"/>
      <c r="G10" s="247"/>
      <c r="H10" s="247"/>
      <c r="I10" s="247"/>
      <c r="J10" s="178">
        <f t="shared" ref="J10:K10" si="0">SUM(J11:J15)</f>
        <v>0</v>
      </c>
      <c r="K10" s="163">
        <f t="shared" si="0"/>
        <v>0</v>
      </c>
      <c r="L10" s="179">
        <f>SUM(L11:L15)</f>
        <v>0</v>
      </c>
      <c r="M10" s="164" t="e">
        <f>L10/$L$207</f>
        <v>#DIV/0!</v>
      </c>
      <c r="N10" s="236"/>
      <c r="O10" s="244"/>
      <c r="P10" s="244">
        <v>9461.0500000000011</v>
      </c>
      <c r="Q10" s="244">
        <v>6988.2</v>
      </c>
      <c r="R10" s="244">
        <v>16449.25</v>
      </c>
    </row>
    <row r="11" spans="1:18" s="238" customFormat="1" ht="38.25" x14ac:dyDescent="0.2">
      <c r="A11" s="221" t="s">
        <v>33</v>
      </c>
      <c r="B11" s="81" t="s">
        <v>509</v>
      </c>
      <c r="C11" s="108" t="s">
        <v>34</v>
      </c>
      <c r="D11" s="109" t="s">
        <v>35</v>
      </c>
      <c r="E11" s="110" t="s">
        <v>36</v>
      </c>
      <c r="F11" s="86">
        <v>24</v>
      </c>
      <c r="G11" s="86"/>
      <c r="H11" s="87" t="s">
        <v>12</v>
      </c>
      <c r="I11" s="168">
        <f t="shared" ref="I11:I15" si="1">TRUNC(G11*(1+HLOOKUP(H11,$F$6:$I$7,2,FALSE)),2)</f>
        <v>0</v>
      </c>
      <c r="J11" s="222">
        <f>IF(G11="",0,IF($L$7=0,P11,ROUND($R$7*L11,2)))</f>
        <v>0</v>
      </c>
      <c r="K11" s="86">
        <f t="shared" ref="K11" si="2">L11-J11</f>
        <v>0</v>
      </c>
      <c r="L11" s="223">
        <f t="shared" ref="L11" si="3">ROUND(F11*I11,2)</f>
        <v>0</v>
      </c>
      <c r="M11" s="173"/>
      <c r="O11" s="244">
        <v>206.06</v>
      </c>
      <c r="P11" s="244">
        <v>589.61</v>
      </c>
      <c r="Q11" s="244">
        <v>5592.0700000000006</v>
      </c>
      <c r="R11" s="244">
        <v>6181.68</v>
      </c>
    </row>
    <row r="12" spans="1:18" s="238" customFormat="1" ht="38.25" x14ac:dyDescent="0.2">
      <c r="A12" s="80" t="s">
        <v>37</v>
      </c>
      <c r="B12" s="81" t="s">
        <v>508</v>
      </c>
      <c r="C12" s="82">
        <v>10775</v>
      </c>
      <c r="D12" s="83" t="s">
        <v>38</v>
      </c>
      <c r="E12" s="84" t="s">
        <v>39</v>
      </c>
      <c r="F12" s="85">
        <v>6</v>
      </c>
      <c r="G12" s="86"/>
      <c r="H12" s="87" t="s">
        <v>12</v>
      </c>
      <c r="I12" s="168">
        <f t="shared" si="1"/>
        <v>0</v>
      </c>
      <c r="J12" s="222">
        <f>IF(G12="",0,IF($L$7=0,P12,ROUND($R$7*L12,2)))</f>
        <v>0</v>
      </c>
      <c r="K12" s="86">
        <f t="shared" ref="K12:K15" si="4">L12-J12</f>
        <v>0</v>
      </c>
      <c r="L12" s="223">
        <f t="shared" ref="L12:L15" si="5">ROUND(F12*I12,2)</f>
        <v>0</v>
      </c>
      <c r="M12" s="173"/>
      <c r="O12" s="244">
        <v>872.5</v>
      </c>
      <c r="P12" s="244">
        <v>5720.59</v>
      </c>
      <c r="Q12" s="244">
        <v>823.13000000000011</v>
      </c>
      <c r="R12" s="244">
        <v>6543.72</v>
      </c>
    </row>
    <row r="13" spans="1:18" s="238" customFormat="1" ht="25.5" x14ac:dyDescent="0.2">
      <c r="A13" s="25" t="s">
        <v>40</v>
      </c>
      <c r="B13" s="16" t="s">
        <v>508</v>
      </c>
      <c r="C13" s="17">
        <v>98524</v>
      </c>
      <c r="D13" s="18" t="s">
        <v>41</v>
      </c>
      <c r="E13" s="19" t="s">
        <v>36</v>
      </c>
      <c r="F13" s="20">
        <v>318.57</v>
      </c>
      <c r="G13" s="86"/>
      <c r="H13" s="63" t="s">
        <v>12</v>
      </c>
      <c r="I13" s="169">
        <f t="shared" si="1"/>
        <v>0</v>
      </c>
      <c r="J13" s="222">
        <f>IF(G13="",0,IF($L$7=0,P13,ROUND($R$7*L13,2)))</f>
        <v>0</v>
      </c>
      <c r="K13" s="86">
        <f t="shared" si="4"/>
        <v>0</v>
      </c>
      <c r="L13" s="223">
        <f t="shared" si="5"/>
        <v>0</v>
      </c>
      <c r="M13" s="102"/>
      <c r="O13" s="244">
        <v>6.86</v>
      </c>
      <c r="P13" s="244">
        <v>2353.91</v>
      </c>
      <c r="Q13" s="244">
        <v>376.23</v>
      </c>
      <c r="R13" s="244">
        <v>2730.14</v>
      </c>
    </row>
    <row r="14" spans="1:18" s="238" customFormat="1" ht="51" x14ac:dyDescent="0.2">
      <c r="A14" s="25" t="s">
        <v>42</v>
      </c>
      <c r="B14" s="16" t="s">
        <v>509</v>
      </c>
      <c r="C14" s="17" t="s">
        <v>43</v>
      </c>
      <c r="D14" s="18" t="s">
        <v>44</v>
      </c>
      <c r="E14" s="19" t="s">
        <v>36</v>
      </c>
      <c r="F14" s="20">
        <v>54.3</v>
      </c>
      <c r="G14" s="86"/>
      <c r="H14" s="63" t="s">
        <v>12</v>
      </c>
      <c r="I14" s="169">
        <f t="shared" si="1"/>
        <v>0</v>
      </c>
      <c r="J14" s="222">
        <f>IF(G14="",0,IF($L$7=0,P14,ROUND($R$7*L14,2)))</f>
        <v>0</v>
      </c>
      <c r="K14" s="86">
        <f t="shared" si="4"/>
        <v>0</v>
      </c>
      <c r="L14" s="223">
        <f t="shared" si="5"/>
        <v>0</v>
      </c>
      <c r="M14" s="102"/>
      <c r="O14" s="244">
        <v>13.9</v>
      </c>
      <c r="P14" s="244">
        <v>751.61</v>
      </c>
      <c r="Q14" s="244">
        <v>191.58000000000004</v>
      </c>
      <c r="R14" s="244">
        <v>943.19</v>
      </c>
    </row>
    <row r="15" spans="1:18" s="238" customFormat="1" ht="25.5" x14ac:dyDescent="0.2">
      <c r="A15" s="25" t="s">
        <v>45</v>
      </c>
      <c r="B15" s="16" t="s">
        <v>508</v>
      </c>
      <c r="C15" s="17">
        <v>105136</v>
      </c>
      <c r="D15" s="18" t="s">
        <v>46</v>
      </c>
      <c r="E15" s="19" t="s">
        <v>47</v>
      </c>
      <c r="F15" s="20">
        <v>1</v>
      </c>
      <c r="G15" s="86"/>
      <c r="H15" s="63" t="s">
        <v>12</v>
      </c>
      <c r="I15" s="169">
        <f t="shared" si="1"/>
        <v>0</v>
      </c>
      <c r="J15" s="222">
        <f>IF(G15="",0,IF($L$7=0,P15,ROUND($R$7*L15,2)))</f>
        <v>0</v>
      </c>
      <c r="K15" s="86">
        <f t="shared" si="4"/>
        <v>0</v>
      </c>
      <c r="L15" s="223">
        <f t="shared" si="5"/>
        <v>0</v>
      </c>
      <c r="M15" s="102"/>
      <c r="O15" s="244">
        <v>40.42</v>
      </c>
      <c r="P15" s="244">
        <v>45.33</v>
      </c>
      <c r="Q15" s="244">
        <v>5.1900000000000048</v>
      </c>
      <c r="R15" s="244">
        <v>50.52</v>
      </c>
    </row>
    <row r="16" spans="1:18" s="238" customFormat="1" ht="30" customHeight="1" x14ac:dyDescent="0.2">
      <c r="A16" s="159">
        <v>2</v>
      </c>
      <c r="B16" s="160"/>
      <c r="C16" s="161"/>
      <c r="D16" s="186" t="s">
        <v>260</v>
      </c>
      <c r="E16" s="246"/>
      <c r="F16" s="247"/>
      <c r="G16" s="247"/>
      <c r="H16" s="247"/>
      <c r="I16" s="247"/>
      <c r="J16" s="178">
        <f>SUM(J17:J25)</f>
        <v>0</v>
      </c>
      <c r="K16" s="163">
        <f>SUM(K17:K25)</f>
        <v>0</v>
      </c>
      <c r="L16" s="179">
        <f>SUM(L17:L25)</f>
        <v>0</v>
      </c>
      <c r="M16" s="164" t="e">
        <f>L16/$L$207</f>
        <v>#DIV/0!</v>
      </c>
      <c r="O16" s="244"/>
      <c r="P16" s="244">
        <v>7201.6600000000017</v>
      </c>
      <c r="Q16" s="244">
        <v>1131.74</v>
      </c>
      <c r="R16" s="244">
        <v>8333.4</v>
      </c>
    </row>
    <row r="17" spans="1:18" s="238" customFormat="1" ht="76.5" x14ac:dyDescent="0.2">
      <c r="A17" s="25" t="s">
        <v>49</v>
      </c>
      <c r="B17" s="16" t="s">
        <v>508</v>
      </c>
      <c r="C17" s="17">
        <v>102276</v>
      </c>
      <c r="D17" s="18" t="s">
        <v>60</v>
      </c>
      <c r="E17" s="19" t="s">
        <v>57</v>
      </c>
      <c r="F17" s="20">
        <v>12.48</v>
      </c>
      <c r="G17" s="86"/>
      <c r="H17" s="63" t="s">
        <v>12</v>
      </c>
      <c r="I17" s="169">
        <f t="shared" ref="I17:I25" si="6">TRUNC(G17*(1+HLOOKUP(H17,$F$6:$I$7,2,FALSE)),2)</f>
        <v>0</v>
      </c>
      <c r="J17" s="222">
        <f t="shared" ref="J17:J25" si="7">IF(G17="",0,IF($L$7=0,P17,ROUND($R$7*L17,2)))</f>
        <v>0</v>
      </c>
      <c r="K17" s="86">
        <f t="shared" ref="K17:K25" si="8">L17-J17</f>
        <v>0</v>
      </c>
      <c r="L17" s="223">
        <f t="shared" ref="L17:L25" si="9">ROUND(F17*I17,2)</f>
        <v>0</v>
      </c>
      <c r="M17" s="102"/>
      <c r="O17" s="244">
        <v>12.65</v>
      </c>
      <c r="P17" s="244">
        <v>169.38</v>
      </c>
      <c r="Q17" s="244">
        <v>27.930000000000007</v>
      </c>
      <c r="R17" s="244">
        <v>197.31</v>
      </c>
    </row>
    <row r="18" spans="1:18" s="238" customFormat="1" ht="25.5" x14ac:dyDescent="0.2">
      <c r="A18" s="25" t="s">
        <v>77</v>
      </c>
      <c r="B18" s="16" t="s">
        <v>510</v>
      </c>
      <c r="C18" s="17" t="s">
        <v>66</v>
      </c>
      <c r="D18" s="18" t="s">
        <v>67</v>
      </c>
      <c r="E18" s="19" t="s">
        <v>68</v>
      </c>
      <c r="F18" s="20">
        <v>2</v>
      </c>
      <c r="G18" s="86"/>
      <c r="H18" s="63" t="s">
        <v>12</v>
      </c>
      <c r="I18" s="169">
        <f t="shared" si="6"/>
        <v>0</v>
      </c>
      <c r="J18" s="222">
        <f t="shared" si="7"/>
        <v>0</v>
      </c>
      <c r="K18" s="86">
        <f t="shared" si="8"/>
        <v>0</v>
      </c>
      <c r="L18" s="223">
        <f t="shared" si="9"/>
        <v>0</v>
      </c>
      <c r="M18" s="102"/>
      <c r="O18" s="244">
        <v>598</v>
      </c>
      <c r="P18" s="244">
        <v>1405.85</v>
      </c>
      <c r="Q18" s="244">
        <v>89.150000000000091</v>
      </c>
      <c r="R18" s="244">
        <v>1495</v>
      </c>
    </row>
    <row r="19" spans="1:18" s="238" customFormat="1" ht="38.25" x14ac:dyDescent="0.2">
      <c r="A19" s="25" t="s">
        <v>261</v>
      </c>
      <c r="B19" s="16" t="s">
        <v>509</v>
      </c>
      <c r="C19" s="17" t="s">
        <v>63</v>
      </c>
      <c r="D19" s="18" t="s">
        <v>64</v>
      </c>
      <c r="E19" s="19" t="s">
        <v>53</v>
      </c>
      <c r="F19" s="20">
        <v>7.5</v>
      </c>
      <c r="G19" s="86"/>
      <c r="H19" s="63" t="s">
        <v>12</v>
      </c>
      <c r="I19" s="169">
        <f t="shared" si="6"/>
        <v>0</v>
      </c>
      <c r="J19" s="222">
        <f t="shared" si="7"/>
        <v>0</v>
      </c>
      <c r="K19" s="86">
        <f t="shared" si="8"/>
        <v>0</v>
      </c>
      <c r="L19" s="223">
        <f t="shared" si="9"/>
        <v>0</v>
      </c>
      <c r="M19" s="102"/>
      <c r="O19" s="244">
        <v>461.7</v>
      </c>
      <c r="P19" s="244">
        <v>3620.43</v>
      </c>
      <c r="Q19" s="244">
        <v>707.9699999999998</v>
      </c>
      <c r="R19" s="244">
        <v>4328.3999999999996</v>
      </c>
    </row>
    <row r="20" spans="1:18" s="238" customFormat="1" ht="38.25" x14ac:dyDescent="0.2">
      <c r="A20" s="25" t="s">
        <v>262</v>
      </c>
      <c r="B20" s="16" t="s">
        <v>509</v>
      </c>
      <c r="C20" s="17" t="s">
        <v>69</v>
      </c>
      <c r="D20" s="18" t="s">
        <v>70</v>
      </c>
      <c r="E20" s="19" t="s">
        <v>57</v>
      </c>
      <c r="F20" s="20">
        <v>0.15</v>
      </c>
      <c r="G20" s="86"/>
      <c r="H20" s="63" t="s">
        <v>12</v>
      </c>
      <c r="I20" s="169">
        <f t="shared" si="6"/>
        <v>0</v>
      </c>
      <c r="J20" s="222">
        <f t="shared" si="7"/>
        <v>0</v>
      </c>
      <c r="K20" s="86">
        <f t="shared" si="8"/>
        <v>0</v>
      </c>
      <c r="L20" s="223">
        <f t="shared" si="9"/>
        <v>0</v>
      </c>
      <c r="M20" s="102"/>
      <c r="O20" s="244">
        <v>541.1</v>
      </c>
      <c r="P20" s="244">
        <v>86.76</v>
      </c>
      <c r="Q20" s="244">
        <v>14.699999999999989</v>
      </c>
      <c r="R20" s="244">
        <v>101.46</v>
      </c>
    </row>
    <row r="21" spans="1:18" s="238" customFormat="1" ht="89.25" x14ac:dyDescent="0.2">
      <c r="A21" s="25" t="s">
        <v>263</v>
      </c>
      <c r="B21" s="16" t="s">
        <v>508</v>
      </c>
      <c r="C21" s="17">
        <v>93378</v>
      </c>
      <c r="D21" s="18" t="s">
        <v>65</v>
      </c>
      <c r="E21" s="19" t="s">
        <v>57</v>
      </c>
      <c r="F21" s="20">
        <v>31</v>
      </c>
      <c r="G21" s="86"/>
      <c r="H21" s="63" t="s">
        <v>12</v>
      </c>
      <c r="I21" s="169">
        <f t="shared" si="6"/>
        <v>0</v>
      </c>
      <c r="J21" s="222">
        <f t="shared" si="7"/>
        <v>0</v>
      </c>
      <c r="K21" s="86">
        <f t="shared" si="8"/>
        <v>0</v>
      </c>
      <c r="L21" s="223">
        <f t="shared" si="9"/>
        <v>0</v>
      </c>
      <c r="M21" s="102"/>
      <c r="O21" s="244">
        <v>29.25</v>
      </c>
      <c r="P21" s="244">
        <v>987.09999999999991</v>
      </c>
      <c r="Q21" s="244">
        <v>146.26</v>
      </c>
      <c r="R21" s="244">
        <v>1133.3599999999999</v>
      </c>
    </row>
    <row r="22" spans="1:18" s="238" customFormat="1" ht="51" x14ac:dyDescent="0.2">
      <c r="A22" s="25" t="s">
        <v>264</v>
      </c>
      <c r="B22" s="16" t="s">
        <v>508</v>
      </c>
      <c r="C22" s="17">
        <v>92267</v>
      </c>
      <c r="D22" s="18" t="s">
        <v>71</v>
      </c>
      <c r="E22" s="19" t="s">
        <v>36</v>
      </c>
      <c r="F22" s="20">
        <v>1.96</v>
      </c>
      <c r="G22" s="86"/>
      <c r="H22" s="63" t="s">
        <v>12</v>
      </c>
      <c r="I22" s="169">
        <f t="shared" si="6"/>
        <v>0</v>
      </c>
      <c r="J22" s="222">
        <f t="shared" si="7"/>
        <v>0</v>
      </c>
      <c r="K22" s="86">
        <f t="shared" si="8"/>
        <v>0</v>
      </c>
      <c r="L22" s="223">
        <f t="shared" si="9"/>
        <v>0</v>
      </c>
      <c r="M22" s="102"/>
      <c r="O22" s="244">
        <v>44.25</v>
      </c>
      <c r="P22" s="244">
        <v>99.27000000000001</v>
      </c>
      <c r="Q22" s="244">
        <v>9.1399999999999864</v>
      </c>
      <c r="R22" s="244">
        <v>108.41</v>
      </c>
    </row>
    <row r="23" spans="1:18" s="238" customFormat="1" ht="38.25" x14ac:dyDescent="0.2">
      <c r="A23" s="25" t="s">
        <v>265</v>
      </c>
      <c r="B23" s="16" t="s">
        <v>508</v>
      </c>
      <c r="C23" s="17">
        <v>92802</v>
      </c>
      <c r="D23" s="18" t="s">
        <v>72</v>
      </c>
      <c r="E23" s="19" t="s">
        <v>73</v>
      </c>
      <c r="F23" s="21">
        <v>15</v>
      </c>
      <c r="G23" s="86"/>
      <c r="H23" s="63" t="s">
        <v>12</v>
      </c>
      <c r="I23" s="169">
        <f t="shared" si="6"/>
        <v>0</v>
      </c>
      <c r="J23" s="222">
        <f t="shared" si="7"/>
        <v>0</v>
      </c>
      <c r="K23" s="86">
        <f t="shared" si="8"/>
        <v>0</v>
      </c>
      <c r="L23" s="223">
        <f t="shared" si="9"/>
        <v>0</v>
      </c>
      <c r="M23" s="102"/>
      <c r="O23" s="244">
        <v>8.5399999999999991</v>
      </c>
      <c r="P23" s="244">
        <v>137.02000000000001</v>
      </c>
      <c r="Q23" s="244">
        <v>23.03</v>
      </c>
      <c r="R23" s="244">
        <v>160.05000000000001</v>
      </c>
    </row>
    <row r="24" spans="1:18" s="238" customFormat="1" ht="38.25" x14ac:dyDescent="0.2">
      <c r="A24" s="25" t="s">
        <v>266</v>
      </c>
      <c r="B24" s="16" t="s">
        <v>509</v>
      </c>
      <c r="C24" s="17" t="s">
        <v>74</v>
      </c>
      <c r="D24" s="18" t="s">
        <v>75</v>
      </c>
      <c r="E24" s="19" t="s">
        <v>57</v>
      </c>
      <c r="F24" s="20">
        <v>0.15</v>
      </c>
      <c r="G24" s="86"/>
      <c r="H24" s="63" t="s">
        <v>12</v>
      </c>
      <c r="I24" s="169">
        <f t="shared" si="6"/>
        <v>0</v>
      </c>
      <c r="J24" s="222">
        <f t="shared" si="7"/>
        <v>0</v>
      </c>
      <c r="K24" s="86">
        <f t="shared" si="8"/>
        <v>0</v>
      </c>
      <c r="L24" s="223">
        <f t="shared" si="9"/>
        <v>0</v>
      </c>
      <c r="M24" s="102"/>
      <c r="O24" s="244">
        <v>4154.47</v>
      </c>
      <c r="P24" s="244">
        <v>668.54000000000008</v>
      </c>
      <c r="Q24" s="244">
        <v>110.41999999999996</v>
      </c>
      <c r="R24" s="244">
        <v>778.96</v>
      </c>
    </row>
    <row r="25" spans="1:18" s="238" customFormat="1" ht="51" x14ac:dyDescent="0.2">
      <c r="A25" s="25" t="s">
        <v>267</v>
      </c>
      <c r="B25" s="22" t="s">
        <v>508</v>
      </c>
      <c r="C25" s="17">
        <v>45146</v>
      </c>
      <c r="D25" s="18" t="s">
        <v>76</v>
      </c>
      <c r="E25" s="19" t="s">
        <v>73</v>
      </c>
      <c r="F25" s="20">
        <v>0.75</v>
      </c>
      <c r="G25" s="86"/>
      <c r="H25" s="63" t="s">
        <v>12</v>
      </c>
      <c r="I25" s="169">
        <f t="shared" si="6"/>
        <v>0</v>
      </c>
      <c r="J25" s="222">
        <f t="shared" si="7"/>
        <v>0</v>
      </c>
      <c r="K25" s="86">
        <f t="shared" si="8"/>
        <v>0</v>
      </c>
      <c r="L25" s="223">
        <f t="shared" si="9"/>
        <v>0</v>
      </c>
      <c r="M25" s="102"/>
      <c r="O25" s="244">
        <v>32.479999999999997</v>
      </c>
      <c r="P25" s="244">
        <v>27.310000000000002</v>
      </c>
      <c r="Q25" s="244">
        <v>3.139999999999997</v>
      </c>
      <c r="R25" s="244">
        <v>30.45</v>
      </c>
    </row>
    <row r="26" spans="1:18" s="239" customFormat="1" ht="30" customHeight="1" x14ac:dyDescent="0.2">
      <c r="A26" s="159">
        <v>3</v>
      </c>
      <c r="B26" s="160"/>
      <c r="C26" s="161"/>
      <c r="D26" s="162" t="s">
        <v>50</v>
      </c>
      <c r="E26" s="246"/>
      <c r="F26" s="247"/>
      <c r="G26" s="247"/>
      <c r="H26" s="247"/>
      <c r="I26" s="247"/>
      <c r="J26" s="178">
        <f>SUM(J27:J36)</f>
        <v>0</v>
      </c>
      <c r="K26" s="163">
        <f>SUM(K27:K36)</f>
        <v>0</v>
      </c>
      <c r="L26" s="179">
        <f>SUM(L27:L36)</f>
        <v>0</v>
      </c>
      <c r="M26" s="164" t="e">
        <f>L26/$L$207</f>
        <v>#DIV/0!</v>
      </c>
      <c r="O26" s="244"/>
      <c r="P26" s="244">
        <v>32517.159999999996</v>
      </c>
      <c r="Q26" s="244">
        <v>6720.44</v>
      </c>
      <c r="R26" s="244">
        <v>39237.599999999999</v>
      </c>
    </row>
    <row r="27" spans="1:18" s="238" customFormat="1" ht="51" x14ac:dyDescent="0.2">
      <c r="A27" s="25" t="s">
        <v>83</v>
      </c>
      <c r="B27" s="16" t="s">
        <v>508</v>
      </c>
      <c r="C27" s="17">
        <v>102139</v>
      </c>
      <c r="D27" s="18" t="s">
        <v>51</v>
      </c>
      <c r="E27" s="19" t="s">
        <v>47</v>
      </c>
      <c r="F27" s="20">
        <v>2</v>
      </c>
      <c r="G27" s="86"/>
      <c r="H27" s="63" t="s">
        <v>12</v>
      </c>
      <c r="I27" s="169">
        <f t="shared" ref="I27:I36" si="10">TRUNC(G27*(1+HLOOKUP(H27,$F$6:$I$7,2,FALSE)),2)</f>
        <v>0</v>
      </c>
      <c r="J27" s="222">
        <f t="shared" ref="J27:J36" si="11">IF(G27="",0,IF($L$7=0,P27,ROUND($R$7*L27,2)))</f>
        <v>0</v>
      </c>
      <c r="K27" s="86">
        <f t="shared" ref="K27:K36" si="12">L27-J27</f>
        <v>0</v>
      </c>
      <c r="L27" s="223">
        <f t="shared" ref="L27:L36" si="13">ROUND(F27*I27,2)</f>
        <v>0</v>
      </c>
      <c r="M27" s="102"/>
      <c r="O27" s="244">
        <v>1952.42</v>
      </c>
      <c r="P27" s="244">
        <v>3974.8600000000006</v>
      </c>
      <c r="Q27" s="244">
        <v>906.17999999999938</v>
      </c>
      <c r="R27" s="244">
        <v>4881.04</v>
      </c>
    </row>
    <row r="28" spans="1:18" s="238" customFormat="1" ht="38.25" x14ac:dyDescent="0.2">
      <c r="A28" s="25" t="s">
        <v>87</v>
      </c>
      <c r="B28" s="16" t="s">
        <v>508</v>
      </c>
      <c r="C28" s="17">
        <v>98050</v>
      </c>
      <c r="D28" s="18" t="s">
        <v>52</v>
      </c>
      <c r="E28" s="19" t="s">
        <v>53</v>
      </c>
      <c r="F28" s="20">
        <v>1</v>
      </c>
      <c r="G28" s="86"/>
      <c r="H28" s="63" t="s">
        <v>12</v>
      </c>
      <c r="I28" s="169">
        <f t="shared" si="10"/>
        <v>0</v>
      </c>
      <c r="J28" s="222">
        <f t="shared" si="11"/>
        <v>0</v>
      </c>
      <c r="K28" s="86">
        <f t="shared" si="12"/>
        <v>0</v>
      </c>
      <c r="L28" s="223">
        <f t="shared" si="13"/>
        <v>0</v>
      </c>
      <c r="M28" s="102"/>
      <c r="O28" s="244">
        <v>341.06</v>
      </c>
      <c r="P28" s="244">
        <v>339.27000000000004</v>
      </c>
      <c r="Q28" s="244">
        <v>87.049999999999955</v>
      </c>
      <c r="R28" s="244">
        <v>426.32</v>
      </c>
    </row>
    <row r="29" spans="1:18" s="238" customFormat="1" ht="38.25" x14ac:dyDescent="0.2">
      <c r="A29" s="25" t="s">
        <v>268</v>
      </c>
      <c r="B29" s="16" t="s">
        <v>508</v>
      </c>
      <c r="C29" s="17">
        <v>90728</v>
      </c>
      <c r="D29" s="18" t="s">
        <v>54</v>
      </c>
      <c r="E29" s="19" t="s">
        <v>47</v>
      </c>
      <c r="F29" s="20">
        <v>3</v>
      </c>
      <c r="G29" s="86"/>
      <c r="H29" s="63" t="s">
        <v>12</v>
      </c>
      <c r="I29" s="169">
        <f t="shared" si="10"/>
        <v>0</v>
      </c>
      <c r="J29" s="222">
        <f t="shared" si="11"/>
        <v>0</v>
      </c>
      <c r="K29" s="86">
        <f t="shared" si="12"/>
        <v>0</v>
      </c>
      <c r="L29" s="223">
        <f t="shared" si="13"/>
        <v>0</v>
      </c>
      <c r="M29" s="102"/>
      <c r="O29" s="244">
        <v>66.319999999999993</v>
      </c>
      <c r="P29" s="244">
        <v>214.19</v>
      </c>
      <c r="Q29" s="244">
        <v>34.509999999999991</v>
      </c>
      <c r="R29" s="244">
        <v>248.7</v>
      </c>
    </row>
    <row r="30" spans="1:18" s="238" customFormat="1" ht="38.25" x14ac:dyDescent="0.2">
      <c r="A30" s="25" t="s">
        <v>269</v>
      </c>
      <c r="B30" s="16" t="s">
        <v>508</v>
      </c>
      <c r="C30" s="17">
        <v>90730</v>
      </c>
      <c r="D30" s="18" t="s">
        <v>55</v>
      </c>
      <c r="E30" s="19" t="s">
        <v>47</v>
      </c>
      <c r="F30" s="20">
        <v>4</v>
      </c>
      <c r="G30" s="86"/>
      <c r="H30" s="63" t="s">
        <v>12</v>
      </c>
      <c r="I30" s="169">
        <f t="shared" si="10"/>
        <v>0</v>
      </c>
      <c r="J30" s="222">
        <f t="shared" si="11"/>
        <v>0</v>
      </c>
      <c r="K30" s="86">
        <f t="shared" si="12"/>
        <v>0</v>
      </c>
      <c r="L30" s="223">
        <f t="shared" si="13"/>
        <v>0</v>
      </c>
      <c r="M30" s="102"/>
      <c r="O30" s="244">
        <v>82.18</v>
      </c>
      <c r="P30" s="244">
        <v>353.77</v>
      </c>
      <c r="Q30" s="244">
        <v>57.110000000000014</v>
      </c>
      <c r="R30" s="244">
        <v>410.88</v>
      </c>
    </row>
    <row r="31" spans="1:18" s="238" customFormat="1" ht="63.75" x14ac:dyDescent="0.2">
      <c r="A31" s="25" t="s">
        <v>270</v>
      </c>
      <c r="B31" s="16" t="s">
        <v>508</v>
      </c>
      <c r="C31" s="17">
        <v>94963</v>
      </c>
      <c r="D31" s="18" t="s">
        <v>56</v>
      </c>
      <c r="E31" s="19" t="s">
        <v>57</v>
      </c>
      <c r="F31" s="20">
        <v>0.6</v>
      </c>
      <c r="G31" s="86"/>
      <c r="H31" s="63" t="s">
        <v>12</v>
      </c>
      <c r="I31" s="169">
        <f t="shared" si="10"/>
        <v>0</v>
      </c>
      <c r="J31" s="222">
        <f t="shared" si="11"/>
        <v>0</v>
      </c>
      <c r="K31" s="86">
        <f t="shared" si="12"/>
        <v>0</v>
      </c>
      <c r="L31" s="223">
        <f t="shared" si="13"/>
        <v>0</v>
      </c>
      <c r="M31" s="102"/>
      <c r="O31" s="244">
        <v>443.51</v>
      </c>
      <c r="P31" s="244">
        <v>285.13</v>
      </c>
      <c r="Q31" s="244">
        <v>47.5</v>
      </c>
      <c r="R31" s="244">
        <v>332.63</v>
      </c>
    </row>
    <row r="32" spans="1:18" s="238" customFormat="1" ht="25.5" x14ac:dyDescent="0.2">
      <c r="A32" s="25" t="s">
        <v>271</v>
      </c>
      <c r="B32" s="16" t="s">
        <v>509</v>
      </c>
      <c r="C32" s="17" t="s">
        <v>58</v>
      </c>
      <c r="D32" s="18" t="s">
        <v>59</v>
      </c>
      <c r="E32" s="19" t="s">
        <v>47</v>
      </c>
      <c r="F32" s="20">
        <v>2</v>
      </c>
      <c r="G32" s="86"/>
      <c r="H32" s="63" t="s">
        <v>12</v>
      </c>
      <c r="I32" s="169">
        <f t="shared" si="10"/>
        <v>0</v>
      </c>
      <c r="J32" s="222">
        <f t="shared" si="11"/>
        <v>0</v>
      </c>
      <c r="K32" s="86">
        <f t="shared" si="12"/>
        <v>0</v>
      </c>
      <c r="L32" s="223">
        <f t="shared" si="13"/>
        <v>0</v>
      </c>
      <c r="M32" s="102"/>
      <c r="O32" s="244">
        <v>677.04</v>
      </c>
      <c r="P32" s="244">
        <v>1455.57</v>
      </c>
      <c r="Q32" s="244">
        <v>237.02999999999997</v>
      </c>
      <c r="R32" s="244">
        <v>1692.6</v>
      </c>
    </row>
    <row r="33" spans="1:18" s="238" customFormat="1" ht="76.5" x14ac:dyDescent="0.2">
      <c r="A33" s="25" t="s">
        <v>272</v>
      </c>
      <c r="B33" s="16" t="s">
        <v>508</v>
      </c>
      <c r="C33" s="17">
        <v>102276</v>
      </c>
      <c r="D33" s="18" t="s">
        <v>60</v>
      </c>
      <c r="E33" s="19" t="s">
        <v>57</v>
      </c>
      <c r="F33" s="20">
        <v>77.27</v>
      </c>
      <c r="G33" s="86"/>
      <c r="H33" s="63" t="s">
        <v>12</v>
      </c>
      <c r="I33" s="169">
        <f t="shared" si="10"/>
        <v>0</v>
      </c>
      <c r="J33" s="222">
        <f t="shared" si="11"/>
        <v>0</v>
      </c>
      <c r="K33" s="86">
        <f t="shared" si="12"/>
        <v>0</v>
      </c>
      <c r="L33" s="223">
        <f t="shared" si="13"/>
        <v>0</v>
      </c>
      <c r="M33" s="102"/>
      <c r="O33" s="244">
        <v>12.65</v>
      </c>
      <c r="P33" s="244">
        <v>1048.7</v>
      </c>
      <c r="Q33" s="244">
        <v>172.94000000000005</v>
      </c>
      <c r="R33" s="244">
        <v>1221.6400000000001</v>
      </c>
    </row>
    <row r="34" spans="1:18" s="238" customFormat="1" ht="38.25" x14ac:dyDescent="0.2">
      <c r="A34" s="25" t="s">
        <v>273</v>
      </c>
      <c r="B34" s="16" t="s">
        <v>509</v>
      </c>
      <c r="C34" s="17" t="s">
        <v>61</v>
      </c>
      <c r="D34" s="18" t="s">
        <v>62</v>
      </c>
      <c r="E34" s="19" t="s">
        <v>53</v>
      </c>
      <c r="F34" s="20">
        <v>25.4</v>
      </c>
      <c r="G34" s="86"/>
      <c r="H34" s="63" t="s">
        <v>12</v>
      </c>
      <c r="I34" s="169">
        <f t="shared" si="10"/>
        <v>0</v>
      </c>
      <c r="J34" s="222">
        <f t="shared" si="11"/>
        <v>0</v>
      </c>
      <c r="K34" s="86">
        <f t="shared" si="12"/>
        <v>0</v>
      </c>
      <c r="L34" s="223">
        <f t="shared" si="13"/>
        <v>0</v>
      </c>
      <c r="M34" s="102"/>
      <c r="O34" s="244">
        <v>293.17</v>
      </c>
      <c r="P34" s="244">
        <v>7420.81</v>
      </c>
      <c r="Q34" s="244">
        <v>1887.2699999999995</v>
      </c>
      <c r="R34" s="244">
        <v>9308.08</v>
      </c>
    </row>
    <row r="35" spans="1:18" s="238" customFormat="1" ht="38.25" x14ac:dyDescent="0.2">
      <c r="A35" s="25" t="s">
        <v>274</v>
      </c>
      <c r="B35" s="16" t="s">
        <v>509</v>
      </c>
      <c r="C35" s="17" t="s">
        <v>63</v>
      </c>
      <c r="D35" s="18" t="s">
        <v>64</v>
      </c>
      <c r="E35" s="19" t="s">
        <v>53</v>
      </c>
      <c r="F35" s="20">
        <v>31</v>
      </c>
      <c r="G35" s="86"/>
      <c r="H35" s="63" t="s">
        <v>12</v>
      </c>
      <c r="I35" s="169">
        <f t="shared" si="10"/>
        <v>0</v>
      </c>
      <c r="J35" s="222">
        <f t="shared" si="11"/>
        <v>0</v>
      </c>
      <c r="K35" s="86">
        <f t="shared" si="12"/>
        <v>0</v>
      </c>
      <c r="L35" s="223">
        <f t="shared" si="13"/>
        <v>0</v>
      </c>
      <c r="M35" s="102"/>
      <c r="O35" s="244">
        <v>461.7</v>
      </c>
      <c r="P35" s="244">
        <v>14964.44</v>
      </c>
      <c r="Q35" s="244">
        <v>2926.2800000000007</v>
      </c>
      <c r="R35" s="244">
        <v>17890.72</v>
      </c>
    </row>
    <row r="36" spans="1:18" s="238" customFormat="1" ht="89.25" x14ac:dyDescent="0.2">
      <c r="A36" s="25" t="s">
        <v>275</v>
      </c>
      <c r="B36" s="16" t="s">
        <v>508</v>
      </c>
      <c r="C36" s="17">
        <v>93378</v>
      </c>
      <c r="D36" s="18" t="s">
        <v>65</v>
      </c>
      <c r="E36" s="19" t="s">
        <v>57</v>
      </c>
      <c r="F36" s="20">
        <v>77.27</v>
      </c>
      <c r="G36" s="86"/>
      <c r="H36" s="63" t="s">
        <v>12</v>
      </c>
      <c r="I36" s="169">
        <f t="shared" si="10"/>
        <v>0</v>
      </c>
      <c r="J36" s="222">
        <f t="shared" si="11"/>
        <v>0</v>
      </c>
      <c r="K36" s="86">
        <f t="shared" si="12"/>
        <v>0</v>
      </c>
      <c r="L36" s="223">
        <f t="shared" si="13"/>
        <v>0</v>
      </c>
      <c r="M36" s="102"/>
      <c r="O36" s="244">
        <v>29.25</v>
      </c>
      <c r="P36" s="244">
        <v>2460.42</v>
      </c>
      <c r="Q36" s="244">
        <v>364.56999999999971</v>
      </c>
      <c r="R36" s="244">
        <v>2824.99</v>
      </c>
    </row>
    <row r="37" spans="1:18" s="239" customFormat="1" ht="30" customHeight="1" x14ac:dyDescent="0.2">
      <c r="A37" s="159">
        <v>4</v>
      </c>
      <c r="B37" s="160"/>
      <c r="C37" s="161"/>
      <c r="D37" s="162" t="s">
        <v>78</v>
      </c>
      <c r="E37" s="246"/>
      <c r="F37" s="247"/>
      <c r="G37" s="247"/>
      <c r="H37" s="247"/>
      <c r="I37" s="247"/>
      <c r="J37" s="178">
        <f>SUM(J38:J46)</f>
        <v>0</v>
      </c>
      <c r="K37" s="163">
        <f>SUM(K38:K46)</f>
        <v>0</v>
      </c>
      <c r="L37" s="179">
        <f>SUM(L38:L46)</f>
        <v>0</v>
      </c>
      <c r="M37" s="164" t="e">
        <f>L37/$L$207</f>
        <v>#DIV/0!</v>
      </c>
      <c r="O37" s="244"/>
      <c r="P37" s="244">
        <v>23392.45</v>
      </c>
      <c r="Q37" s="244">
        <v>4553.18</v>
      </c>
      <c r="R37" s="244">
        <v>27945.63</v>
      </c>
    </row>
    <row r="38" spans="1:18" s="238" customFormat="1" ht="51" x14ac:dyDescent="0.2">
      <c r="A38" s="25" t="s">
        <v>91</v>
      </c>
      <c r="B38" s="16" t="s">
        <v>508</v>
      </c>
      <c r="C38" s="17">
        <v>102457</v>
      </c>
      <c r="D38" s="18" t="s">
        <v>79</v>
      </c>
      <c r="E38" s="19" t="s">
        <v>47</v>
      </c>
      <c r="F38" s="20">
        <v>2</v>
      </c>
      <c r="G38" s="86"/>
      <c r="H38" s="63" t="s">
        <v>12</v>
      </c>
      <c r="I38" s="169">
        <f t="shared" ref="I38:I50" si="14">TRUNC(G38*(1+HLOOKUP(H38,$F$6:$I$7,2,FALSE)),2)</f>
        <v>0</v>
      </c>
      <c r="J38" s="222">
        <f t="shared" ref="J38:J46" si="15">IF(G38="",0,IF($L$7=0,P38,ROUND($R$7*L38,2)))</f>
        <v>0</v>
      </c>
      <c r="K38" s="86">
        <f t="shared" ref="K38:K46" si="16">L38-J38</f>
        <v>0</v>
      </c>
      <c r="L38" s="223">
        <f t="shared" ref="L38:L46" si="17">ROUND(F38*I38,2)</f>
        <v>0</v>
      </c>
      <c r="M38" s="102"/>
      <c r="O38" s="244">
        <v>1878.65</v>
      </c>
      <c r="P38" s="244">
        <v>3828.9</v>
      </c>
      <c r="Q38" s="244">
        <v>867.7199999999998</v>
      </c>
      <c r="R38" s="244">
        <v>4696.62</v>
      </c>
    </row>
    <row r="39" spans="1:18" s="238" customFormat="1" ht="51" x14ac:dyDescent="0.2">
      <c r="A39" s="25" t="s">
        <v>108</v>
      </c>
      <c r="B39" s="16" t="s">
        <v>508</v>
      </c>
      <c r="C39" s="17">
        <v>99318</v>
      </c>
      <c r="D39" s="18" t="s">
        <v>80</v>
      </c>
      <c r="E39" s="19" t="s">
        <v>53</v>
      </c>
      <c r="F39" s="20">
        <v>1</v>
      </c>
      <c r="G39" s="86"/>
      <c r="H39" s="63" t="s">
        <v>12</v>
      </c>
      <c r="I39" s="169">
        <f t="shared" si="14"/>
        <v>0</v>
      </c>
      <c r="J39" s="222">
        <f t="shared" si="15"/>
        <v>0</v>
      </c>
      <c r="K39" s="86">
        <f t="shared" si="16"/>
        <v>0</v>
      </c>
      <c r="L39" s="223">
        <f t="shared" si="17"/>
        <v>0</v>
      </c>
      <c r="M39" s="102"/>
      <c r="O39" s="244">
        <v>340.1</v>
      </c>
      <c r="P39" s="244">
        <v>338.23</v>
      </c>
      <c r="Q39" s="244">
        <v>86.889999999999986</v>
      </c>
      <c r="R39" s="244">
        <v>425.12</v>
      </c>
    </row>
    <row r="40" spans="1:18" s="238" customFormat="1" ht="38.25" x14ac:dyDescent="0.2">
      <c r="A40" s="25" t="s">
        <v>113</v>
      </c>
      <c r="B40" s="16" t="s">
        <v>508</v>
      </c>
      <c r="C40" s="17">
        <v>90725</v>
      </c>
      <c r="D40" s="18" t="s">
        <v>81</v>
      </c>
      <c r="E40" s="19" t="s">
        <v>47</v>
      </c>
      <c r="F40" s="20">
        <v>2</v>
      </c>
      <c r="G40" s="86"/>
      <c r="H40" s="63" t="s">
        <v>12</v>
      </c>
      <c r="I40" s="169">
        <f t="shared" si="14"/>
        <v>0</v>
      </c>
      <c r="J40" s="222">
        <f t="shared" si="15"/>
        <v>0</v>
      </c>
      <c r="K40" s="86">
        <f t="shared" si="16"/>
        <v>0</v>
      </c>
      <c r="L40" s="223">
        <f t="shared" si="17"/>
        <v>0</v>
      </c>
      <c r="M40" s="102"/>
      <c r="O40" s="244">
        <v>42.46</v>
      </c>
      <c r="P40" s="244">
        <v>91.53</v>
      </c>
      <c r="Q40" s="244">
        <v>14.61</v>
      </c>
      <c r="R40" s="244">
        <v>106.14</v>
      </c>
    </row>
    <row r="41" spans="1:18" s="238" customFormat="1" ht="38.25" x14ac:dyDescent="0.2">
      <c r="A41" s="25" t="s">
        <v>126</v>
      </c>
      <c r="B41" s="16" t="s">
        <v>508</v>
      </c>
      <c r="C41" s="17">
        <v>90728</v>
      </c>
      <c r="D41" s="18" t="s">
        <v>54</v>
      </c>
      <c r="E41" s="19" t="s">
        <v>47</v>
      </c>
      <c r="F41" s="20">
        <v>1</v>
      </c>
      <c r="G41" s="86"/>
      <c r="H41" s="63" t="s">
        <v>12</v>
      </c>
      <c r="I41" s="169">
        <f t="shared" si="14"/>
        <v>0</v>
      </c>
      <c r="J41" s="222">
        <f t="shared" si="15"/>
        <v>0</v>
      </c>
      <c r="K41" s="86">
        <f t="shared" si="16"/>
        <v>0</v>
      </c>
      <c r="L41" s="223">
        <f t="shared" si="17"/>
        <v>0</v>
      </c>
      <c r="M41" s="102"/>
      <c r="O41" s="244">
        <v>66.319999999999993</v>
      </c>
      <c r="P41" s="244">
        <v>71.39</v>
      </c>
      <c r="Q41" s="244">
        <v>11.510000000000005</v>
      </c>
      <c r="R41" s="244">
        <v>82.9</v>
      </c>
    </row>
    <row r="42" spans="1:18" s="238" customFormat="1" ht="38.25" x14ac:dyDescent="0.2">
      <c r="A42" s="25" t="s">
        <v>133</v>
      </c>
      <c r="B42" s="16" t="s">
        <v>508</v>
      </c>
      <c r="C42" s="17">
        <v>90730</v>
      </c>
      <c r="D42" s="18" t="s">
        <v>55</v>
      </c>
      <c r="E42" s="19" t="s">
        <v>47</v>
      </c>
      <c r="F42" s="20">
        <v>6</v>
      </c>
      <c r="G42" s="86"/>
      <c r="H42" s="63" t="s">
        <v>12</v>
      </c>
      <c r="I42" s="169">
        <f t="shared" si="14"/>
        <v>0</v>
      </c>
      <c r="J42" s="222">
        <f t="shared" si="15"/>
        <v>0</v>
      </c>
      <c r="K42" s="86">
        <f t="shared" si="16"/>
        <v>0</v>
      </c>
      <c r="L42" s="223">
        <f t="shared" si="17"/>
        <v>0</v>
      </c>
      <c r="M42" s="102"/>
      <c r="O42" s="244">
        <v>82.18</v>
      </c>
      <c r="P42" s="244">
        <v>530.65</v>
      </c>
      <c r="Q42" s="244">
        <v>85.670000000000073</v>
      </c>
      <c r="R42" s="244">
        <v>616.32000000000005</v>
      </c>
    </row>
    <row r="43" spans="1:18" s="238" customFormat="1" ht="25.5" x14ac:dyDescent="0.2">
      <c r="A43" s="25" t="s">
        <v>138</v>
      </c>
      <c r="B43" s="16" t="s">
        <v>509</v>
      </c>
      <c r="C43" s="17" t="s">
        <v>58</v>
      </c>
      <c r="D43" s="18" t="s">
        <v>59</v>
      </c>
      <c r="E43" s="19" t="s">
        <v>47</v>
      </c>
      <c r="F43" s="20">
        <v>2</v>
      </c>
      <c r="G43" s="86"/>
      <c r="H43" s="63" t="s">
        <v>12</v>
      </c>
      <c r="I43" s="169">
        <f t="shared" si="14"/>
        <v>0</v>
      </c>
      <c r="J43" s="222">
        <f t="shared" si="15"/>
        <v>0</v>
      </c>
      <c r="K43" s="86">
        <f t="shared" si="16"/>
        <v>0</v>
      </c>
      <c r="L43" s="223">
        <f t="shared" si="17"/>
        <v>0</v>
      </c>
      <c r="M43" s="102"/>
      <c r="O43" s="244">
        <v>677.04</v>
      </c>
      <c r="P43" s="244">
        <v>1455.57</v>
      </c>
      <c r="Q43" s="244">
        <v>237.02999999999997</v>
      </c>
      <c r="R43" s="244">
        <v>1692.6</v>
      </c>
    </row>
    <row r="44" spans="1:18" s="238" customFormat="1" ht="76.5" x14ac:dyDescent="0.2">
      <c r="A44" s="25" t="s">
        <v>141</v>
      </c>
      <c r="B44" s="16" t="s">
        <v>508</v>
      </c>
      <c r="C44" s="17">
        <v>102276</v>
      </c>
      <c r="D44" s="18" t="s">
        <v>60</v>
      </c>
      <c r="E44" s="19" t="s">
        <v>57</v>
      </c>
      <c r="F44" s="20">
        <v>46.5</v>
      </c>
      <c r="G44" s="86"/>
      <c r="H44" s="63" t="s">
        <v>12</v>
      </c>
      <c r="I44" s="169">
        <f t="shared" si="14"/>
        <v>0</v>
      </c>
      <c r="J44" s="222">
        <f t="shared" si="15"/>
        <v>0</v>
      </c>
      <c r="K44" s="86">
        <f t="shared" si="16"/>
        <v>0</v>
      </c>
      <c r="L44" s="223">
        <f t="shared" si="17"/>
        <v>0</v>
      </c>
      <c r="M44" s="102"/>
      <c r="O44" s="244">
        <v>12.65</v>
      </c>
      <c r="P44" s="244">
        <v>631.09</v>
      </c>
      <c r="Q44" s="244">
        <v>104.07999999999993</v>
      </c>
      <c r="R44" s="244">
        <v>735.17</v>
      </c>
    </row>
    <row r="45" spans="1:18" s="238" customFormat="1" ht="38.25" x14ac:dyDescent="0.2">
      <c r="A45" s="25" t="s">
        <v>144</v>
      </c>
      <c r="B45" s="16" t="s">
        <v>509</v>
      </c>
      <c r="C45" s="17" t="s">
        <v>63</v>
      </c>
      <c r="D45" s="18" t="s">
        <v>64</v>
      </c>
      <c r="E45" s="19" t="s">
        <v>53</v>
      </c>
      <c r="F45" s="20">
        <v>31</v>
      </c>
      <c r="G45" s="86"/>
      <c r="H45" s="63" t="s">
        <v>12</v>
      </c>
      <c r="I45" s="169">
        <f t="shared" si="14"/>
        <v>0</v>
      </c>
      <c r="J45" s="222">
        <f t="shared" si="15"/>
        <v>0</v>
      </c>
      <c r="K45" s="86">
        <f t="shared" si="16"/>
        <v>0</v>
      </c>
      <c r="L45" s="223">
        <f t="shared" si="17"/>
        <v>0</v>
      </c>
      <c r="M45" s="102"/>
      <c r="O45" s="244">
        <v>461.7</v>
      </c>
      <c r="P45" s="244">
        <v>14964.44</v>
      </c>
      <c r="Q45" s="244">
        <v>2926.2800000000007</v>
      </c>
      <c r="R45" s="244">
        <v>17890.72</v>
      </c>
    </row>
    <row r="46" spans="1:18" s="238" customFormat="1" ht="89.25" x14ac:dyDescent="0.2">
      <c r="A46" s="25" t="s">
        <v>276</v>
      </c>
      <c r="B46" s="16" t="s">
        <v>508</v>
      </c>
      <c r="C46" s="17">
        <v>93378</v>
      </c>
      <c r="D46" s="18" t="s">
        <v>65</v>
      </c>
      <c r="E46" s="19" t="s">
        <v>57</v>
      </c>
      <c r="F46" s="20">
        <v>46.5</v>
      </c>
      <c r="G46" s="86"/>
      <c r="H46" s="63" t="s">
        <v>12</v>
      </c>
      <c r="I46" s="169">
        <f t="shared" si="14"/>
        <v>0</v>
      </c>
      <c r="J46" s="222">
        <f t="shared" si="15"/>
        <v>0</v>
      </c>
      <c r="K46" s="86">
        <f t="shared" si="16"/>
        <v>0</v>
      </c>
      <c r="L46" s="223">
        <f t="shared" si="17"/>
        <v>0</v>
      </c>
      <c r="M46" s="102"/>
      <c r="O46" s="244">
        <v>29.25</v>
      </c>
      <c r="P46" s="244">
        <v>1480.65</v>
      </c>
      <c r="Q46" s="244">
        <v>219.38999999999987</v>
      </c>
      <c r="R46" s="244">
        <v>1700.04</v>
      </c>
    </row>
    <row r="47" spans="1:18" s="239" customFormat="1" ht="30" customHeight="1" x14ac:dyDescent="0.2">
      <c r="A47" s="159">
        <v>5</v>
      </c>
      <c r="B47" s="160"/>
      <c r="C47" s="161"/>
      <c r="D47" s="162" t="s">
        <v>277</v>
      </c>
      <c r="E47" s="246"/>
      <c r="F47" s="247"/>
      <c r="G47" s="247"/>
      <c r="H47" s="247"/>
      <c r="I47" s="247"/>
      <c r="J47" s="178">
        <f>SUM(J48:J50)</f>
        <v>0</v>
      </c>
      <c r="K47" s="163">
        <f>SUM(K48:K50)</f>
        <v>0</v>
      </c>
      <c r="L47" s="179">
        <f>SUM(L48:L50)</f>
        <v>0</v>
      </c>
      <c r="M47" s="164" t="e">
        <f>L47/$L$207</f>
        <v>#DIV/0!</v>
      </c>
      <c r="O47" s="244"/>
      <c r="P47" s="244">
        <v>11621.03</v>
      </c>
      <c r="Q47" s="244">
        <v>2076.9799999999996</v>
      </c>
      <c r="R47" s="244">
        <v>13698.01</v>
      </c>
    </row>
    <row r="48" spans="1:18" s="238" customFormat="1" ht="102" x14ac:dyDescent="0.2">
      <c r="A48" s="25" t="s">
        <v>147</v>
      </c>
      <c r="B48" s="16" t="s">
        <v>508</v>
      </c>
      <c r="C48" s="23">
        <v>101230</v>
      </c>
      <c r="D48" s="25" t="s">
        <v>278</v>
      </c>
      <c r="E48" s="19" t="s">
        <v>57</v>
      </c>
      <c r="F48" s="20">
        <v>121.23</v>
      </c>
      <c r="G48" s="86"/>
      <c r="H48" s="63" t="s">
        <v>12</v>
      </c>
      <c r="I48" s="169">
        <f t="shared" si="14"/>
        <v>0</v>
      </c>
      <c r="J48" s="222">
        <f>IF(G48="",0,IF($L$7=0,P48,ROUND($R$7*L48,2)))</f>
        <v>0</v>
      </c>
      <c r="K48" s="86">
        <f t="shared" ref="K48:K50" si="18">L48-J48</f>
        <v>0</v>
      </c>
      <c r="L48" s="223">
        <f t="shared" ref="L48:L50" si="19">ROUND(F48*I48,2)</f>
        <v>0</v>
      </c>
      <c r="M48" s="102"/>
      <c r="O48" s="244">
        <v>12.47</v>
      </c>
      <c r="P48" s="244">
        <v>1614.78</v>
      </c>
      <c r="Q48" s="244">
        <v>273.98</v>
      </c>
      <c r="R48" s="244">
        <v>1888.76</v>
      </c>
    </row>
    <row r="49" spans="1:18" s="238" customFormat="1" ht="51" x14ac:dyDescent="0.2">
      <c r="A49" s="25" t="s">
        <v>149</v>
      </c>
      <c r="B49" s="16" t="s">
        <v>508</v>
      </c>
      <c r="C49" s="23">
        <v>95876</v>
      </c>
      <c r="D49" s="25" t="s">
        <v>84</v>
      </c>
      <c r="E49" s="19" t="s">
        <v>57</v>
      </c>
      <c r="F49" s="20">
        <v>1355.37</v>
      </c>
      <c r="G49" s="86"/>
      <c r="H49" s="63" t="s">
        <v>12</v>
      </c>
      <c r="I49" s="169">
        <f t="shared" si="14"/>
        <v>0</v>
      </c>
      <c r="J49" s="222">
        <f>IF(G49="",0,IF($L$7=0,P49,ROUND($R$7*L49,2)))</f>
        <v>0</v>
      </c>
      <c r="K49" s="86">
        <f t="shared" si="18"/>
        <v>0</v>
      </c>
      <c r="L49" s="223">
        <f t="shared" si="19"/>
        <v>0</v>
      </c>
      <c r="M49" s="102"/>
      <c r="O49" s="244">
        <v>2.4700000000000002</v>
      </c>
      <c r="P49" s="244">
        <v>3427.73</v>
      </c>
      <c r="Q49" s="244">
        <v>746.81</v>
      </c>
      <c r="R49" s="244">
        <v>4174.54</v>
      </c>
    </row>
    <row r="50" spans="1:18" s="238" customFormat="1" ht="25.5" x14ac:dyDescent="0.2">
      <c r="A50" s="25" t="s">
        <v>153</v>
      </c>
      <c r="B50" s="16" t="s">
        <v>509</v>
      </c>
      <c r="C50" s="17" t="s">
        <v>85</v>
      </c>
      <c r="D50" s="18" t="s">
        <v>86</v>
      </c>
      <c r="E50" s="19" t="s">
        <v>36</v>
      </c>
      <c r="F50" s="20">
        <v>56.27</v>
      </c>
      <c r="G50" s="86"/>
      <c r="H50" s="63" t="s">
        <v>12</v>
      </c>
      <c r="I50" s="169">
        <f t="shared" si="14"/>
        <v>0</v>
      </c>
      <c r="J50" s="222">
        <f>IF(G50="",0,IF($L$7=0,P50,ROUND($R$7*L50,2)))</f>
        <v>0</v>
      </c>
      <c r="K50" s="86">
        <f t="shared" si="18"/>
        <v>0</v>
      </c>
      <c r="L50" s="223">
        <f t="shared" si="19"/>
        <v>0</v>
      </c>
      <c r="M50" s="102"/>
      <c r="O50" s="244">
        <v>108.55</v>
      </c>
      <c r="P50" s="244">
        <v>6578.52</v>
      </c>
      <c r="Q50" s="244">
        <v>1056.1899999999996</v>
      </c>
      <c r="R50" s="244">
        <v>7634.71</v>
      </c>
    </row>
    <row r="51" spans="1:18" s="239" customFormat="1" ht="30" customHeight="1" x14ac:dyDescent="0.2">
      <c r="A51" s="159">
        <v>6</v>
      </c>
      <c r="B51" s="160"/>
      <c r="C51" s="161"/>
      <c r="D51" s="162" t="s">
        <v>279</v>
      </c>
      <c r="E51" s="246"/>
      <c r="F51" s="247"/>
      <c r="G51" s="247"/>
      <c r="H51" s="247"/>
      <c r="I51" s="247"/>
      <c r="J51" s="178">
        <f>SUM(J52:J54)</f>
        <v>0</v>
      </c>
      <c r="K51" s="163">
        <f>SUM(K52:K54)</f>
        <v>0</v>
      </c>
      <c r="L51" s="179">
        <f>SUM(L52:L54)</f>
        <v>0</v>
      </c>
      <c r="M51" s="164" t="e">
        <f>L51/$L$207</f>
        <v>#DIV/0!</v>
      </c>
      <c r="O51" s="244"/>
      <c r="P51" s="244">
        <v>10017.35</v>
      </c>
      <c r="Q51" s="244">
        <v>1787.1799999999985</v>
      </c>
      <c r="R51" s="244">
        <v>11804.529999999999</v>
      </c>
    </row>
    <row r="52" spans="1:18" s="238" customFormat="1" ht="102" x14ac:dyDescent="0.2">
      <c r="A52" s="25" t="s">
        <v>160</v>
      </c>
      <c r="B52" s="16" t="s">
        <v>508</v>
      </c>
      <c r="C52" s="23">
        <v>101230</v>
      </c>
      <c r="D52" s="25" t="s">
        <v>280</v>
      </c>
      <c r="E52" s="19" t="s">
        <v>57</v>
      </c>
      <c r="F52" s="20">
        <v>156.37</v>
      </c>
      <c r="G52" s="86"/>
      <c r="H52" s="63" t="s">
        <v>12</v>
      </c>
      <c r="I52" s="169">
        <f t="shared" ref="I52:I54" si="20">TRUNC(G52*(1+HLOOKUP(H52,$F$6:$I$7,2,FALSE)),2)</f>
        <v>0</v>
      </c>
      <c r="J52" s="222">
        <f>IF(G52="",0,IF($L$7=0,P52,ROUND($R$7*L52,2)))</f>
        <v>0</v>
      </c>
      <c r="K52" s="86">
        <f t="shared" ref="K52:K54" si="21">L52-J52</f>
        <v>0</v>
      </c>
      <c r="L52" s="223">
        <f t="shared" ref="L52:L54" si="22">ROUND(F52*I52,2)</f>
        <v>0</v>
      </c>
      <c r="M52" s="102"/>
      <c r="O52" s="244">
        <v>12.47</v>
      </c>
      <c r="P52" s="244">
        <v>2082.8500000000004</v>
      </c>
      <c r="Q52" s="244">
        <v>353.38999999999942</v>
      </c>
      <c r="R52" s="244">
        <v>2436.2399999999998</v>
      </c>
    </row>
    <row r="53" spans="1:18" s="238" customFormat="1" ht="51" x14ac:dyDescent="0.2">
      <c r="A53" s="25" t="s">
        <v>189</v>
      </c>
      <c r="B53" s="16" t="s">
        <v>508</v>
      </c>
      <c r="C53" s="23">
        <v>95876</v>
      </c>
      <c r="D53" s="25" t="s">
        <v>84</v>
      </c>
      <c r="E53" s="19" t="s">
        <v>57</v>
      </c>
      <c r="F53" s="20">
        <v>917.09</v>
      </c>
      <c r="G53" s="86"/>
      <c r="H53" s="63" t="s">
        <v>12</v>
      </c>
      <c r="I53" s="169">
        <f t="shared" si="20"/>
        <v>0</v>
      </c>
      <c r="J53" s="222">
        <f>IF(G53="",0,IF($L$7=0,P53,ROUND($R$7*L53,2)))</f>
        <v>0</v>
      </c>
      <c r="K53" s="86">
        <f t="shared" si="21"/>
        <v>0</v>
      </c>
      <c r="L53" s="223">
        <f t="shared" si="22"/>
        <v>0</v>
      </c>
      <c r="M53" s="102"/>
      <c r="O53" s="244">
        <v>2.4700000000000002</v>
      </c>
      <c r="P53" s="244">
        <v>2319.31</v>
      </c>
      <c r="Q53" s="244">
        <v>505.32999999999993</v>
      </c>
      <c r="R53" s="244">
        <v>2824.64</v>
      </c>
    </row>
    <row r="54" spans="1:18" s="238" customFormat="1" ht="25.5" x14ac:dyDescent="0.2">
      <c r="A54" s="25" t="s">
        <v>191</v>
      </c>
      <c r="B54" s="16" t="s">
        <v>509</v>
      </c>
      <c r="C54" s="17" t="s">
        <v>88</v>
      </c>
      <c r="D54" s="18" t="s">
        <v>89</v>
      </c>
      <c r="E54" s="19" t="s">
        <v>36</v>
      </c>
      <c r="F54" s="20">
        <v>82.31</v>
      </c>
      <c r="G54" s="86"/>
      <c r="H54" s="63" t="s">
        <v>12</v>
      </c>
      <c r="I54" s="169">
        <f t="shared" si="20"/>
        <v>0</v>
      </c>
      <c r="J54" s="222">
        <f>IF(G54="",0,IF($L$7=0,P54,ROUND($R$7*L54,2)))</f>
        <v>0</v>
      </c>
      <c r="K54" s="86">
        <f t="shared" si="21"/>
        <v>0</v>
      </c>
      <c r="L54" s="223">
        <f t="shared" si="22"/>
        <v>0</v>
      </c>
      <c r="M54" s="102"/>
      <c r="O54" s="244">
        <v>63.6</v>
      </c>
      <c r="P54" s="244">
        <v>5615.1900000000005</v>
      </c>
      <c r="Q54" s="244">
        <v>928.45999999999913</v>
      </c>
      <c r="R54" s="244">
        <v>6543.65</v>
      </c>
    </row>
    <row r="55" spans="1:18" s="239" customFormat="1" ht="30" customHeight="1" x14ac:dyDescent="0.2">
      <c r="A55" s="159">
        <v>7</v>
      </c>
      <c r="B55" s="160"/>
      <c r="C55" s="161"/>
      <c r="D55" s="186" t="s">
        <v>281</v>
      </c>
      <c r="E55" s="246"/>
      <c r="F55" s="247"/>
      <c r="G55" s="247"/>
      <c r="H55" s="247"/>
      <c r="I55" s="247"/>
      <c r="J55" s="178">
        <f>SUM(J56:J71)</f>
        <v>0</v>
      </c>
      <c r="K55" s="163">
        <f>SUM(K56:K71)</f>
        <v>0</v>
      </c>
      <c r="L55" s="179">
        <f>SUM(L56:L71)</f>
        <v>0</v>
      </c>
      <c r="M55" s="164" t="e">
        <f>L55/$L$207</f>
        <v>#DIV/0!</v>
      </c>
      <c r="O55" s="244"/>
      <c r="P55" s="244">
        <v>49094.669999999991</v>
      </c>
      <c r="Q55" s="244">
        <v>5949.9600000000028</v>
      </c>
      <c r="R55" s="244">
        <v>55044.63</v>
      </c>
    </row>
    <row r="56" spans="1:18" s="238" customFormat="1" ht="51" x14ac:dyDescent="0.2">
      <c r="A56" s="25" t="s">
        <v>205</v>
      </c>
      <c r="B56" s="16" t="s">
        <v>508</v>
      </c>
      <c r="C56" s="17">
        <v>97083</v>
      </c>
      <c r="D56" s="18" t="s">
        <v>92</v>
      </c>
      <c r="E56" s="19" t="s">
        <v>36</v>
      </c>
      <c r="F56" s="20">
        <v>39.86</v>
      </c>
      <c r="G56" s="86"/>
      <c r="H56" s="63" t="s">
        <v>12</v>
      </c>
      <c r="I56" s="169">
        <f>TRUNC(G56*(1+HLOOKUP(H56,$F$6:$I$7,2,FALSE)),2)</f>
        <v>0</v>
      </c>
      <c r="J56" s="222">
        <f t="shared" ref="J56:J71" si="23">IF(G56="",0,IF($L$7=0,P56,ROUND($R$7*L56,2)))</f>
        <v>0</v>
      </c>
      <c r="K56" s="86">
        <f t="shared" ref="K56:K71" si="24">L56-J56</f>
        <v>0</v>
      </c>
      <c r="L56" s="223">
        <f t="shared" ref="L56:L71" si="25">ROUND(F56*I56,2)</f>
        <v>0</v>
      </c>
      <c r="M56" s="102"/>
      <c r="O56" s="244">
        <v>5.1100000000000003</v>
      </c>
      <c r="P56" s="244">
        <v>203.04000000000002</v>
      </c>
      <c r="Q56" s="244">
        <v>51.269999999999982</v>
      </c>
      <c r="R56" s="244">
        <v>254.31</v>
      </c>
    </row>
    <row r="57" spans="1:18" s="238" customFormat="1" ht="25.5" x14ac:dyDescent="0.2">
      <c r="A57" s="25" t="s">
        <v>215</v>
      </c>
      <c r="B57" s="16" t="s">
        <v>509</v>
      </c>
      <c r="C57" s="17" t="s">
        <v>93</v>
      </c>
      <c r="D57" s="18" t="s">
        <v>94</v>
      </c>
      <c r="E57" s="19" t="s">
        <v>36</v>
      </c>
      <c r="F57" s="20">
        <v>32.76</v>
      </c>
      <c r="G57" s="86"/>
      <c r="H57" s="63" t="s">
        <v>12</v>
      </c>
      <c r="I57" s="169">
        <f>TRUNC(G57*(1+HLOOKUP(H57,$F$6:$I$7,2,FALSE)),2)</f>
        <v>0</v>
      </c>
      <c r="J57" s="222">
        <f t="shared" si="23"/>
        <v>0</v>
      </c>
      <c r="K57" s="86">
        <f t="shared" si="24"/>
        <v>0</v>
      </c>
      <c r="L57" s="223">
        <f t="shared" si="25"/>
        <v>0</v>
      </c>
      <c r="M57" s="102"/>
      <c r="O57" s="244">
        <v>18.25</v>
      </c>
      <c r="P57" s="244">
        <v>664.27</v>
      </c>
      <c r="Q57" s="244">
        <v>82.990000000000009</v>
      </c>
      <c r="R57" s="244">
        <v>747.26</v>
      </c>
    </row>
    <row r="58" spans="1:18" s="238" customFormat="1" ht="38.25" x14ac:dyDescent="0.2">
      <c r="A58" s="25" t="s">
        <v>282</v>
      </c>
      <c r="B58" s="16" t="s">
        <v>508</v>
      </c>
      <c r="C58" s="17">
        <v>96622</v>
      </c>
      <c r="D58" s="18" t="s">
        <v>95</v>
      </c>
      <c r="E58" s="19" t="s">
        <v>57</v>
      </c>
      <c r="F58" s="20">
        <v>1.99</v>
      </c>
      <c r="G58" s="86"/>
      <c r="H58" s="63" t="s">
        <v>12</v>
      </c>
      <c r="I58" s="169">
        <f t="shared" ref="I58:I69" si="26">TRUNC(G58*(1+HLOOKUP(H58,$F$6:$I$7,2,FALSE)),2)</f>
        <v>0</v>
      </c>
      <c r="J58" s="222">
        <f t="shared" si="23"/>
        <v>0</v>
      </c>
      <c r="K58" s="86">
        <f t="shared" si="24"/>
        <v>0</v>
      </c>
      <c r="L58" s="223">
        <f t="shared" si="25"/>
        <v>0</v>
      </c>
      <c r="M58" s="102"/>
      <c r="O58" s="244">
        <v>218.15</v>
      </c>
      <c r="P58" s="244">
        <v>449.81</v>
      </c>
      <c r="Q58" s="244">
        <v>92.82</v>
      </c>
      <c r="R58" s="244">
        <v>542.63</v>
      </c>
    </row>
    <row r="59" spans="1:18" s="238" customFormat="1" ht="51" x14ac:dyDescent="0.2">
      <c r="A59" s="25" t="s">
        <v>283</v>
      </c>
      <c r="B59" s="16" t="s">
        <v>508</v>
      </c>
      <c r="C59" s="17">
        <v>97087</v>
      </c>
      <c r="D59" s="18" t="s">
        <v>96</v>
      </c>
      <c r="E59" s="19" t="s">
        <v>36</v>
      </c>
      <c r="F59" s="20">
        <v>39.86</v>
      </c>
      <c r="G59" s="86"/>
      <c r="H59" s="63" t="s">
        <v>12</v>
      </c>
      <c r="I59" s="169">
        <f t="shared" si="26"/>
        <v>0</v>
      </c>
      <c r="J59" s="222">
        <f t="shared" si="23"/>
        <v>0</v>
      </c>
      <c r="K59" s="86">
        <f t="shared" si="24"/>
        <v>0</v>
      </c>
      <c r="L59" s="223">
        <f t="shared" si="25"/>
        <v>0</v>
      </c>
      <c r="M59" s="102"/>
      <c r="O59" s="244">
        <v>3.15</v>
      </c>
      <c r="P59" s="244">
        <v>134.88</v>
      </c>
      <c r="Q59" s="244">
        <v>21.77000000000001</v>
      </c>
      <c r="R59" s="244">
        <v>156.65</v>
      </c>
    </row>
    <row r="60" spans="1:18" s="238" customFormat="1" ht="38.25" x14ac:dyDescent="0.2">
      <c r="A60" s="25" t="s">
        <v>284</v>
      </c>
      <c r="B60" s="16" t="s">
        <v>508</v>
      </c>
      <c r="C60" s="17">
        <v>95240</v>
      </c>
      <c r="D60" s="18" t="s">
        <v>97</v>
      </c>
      <c r="E60" s="19" t="s">
        <v>36</v>
      </c>
      <c r="F60" s="20">
        <v>1.2</v>
      </c>
      <c r="G60" s="86"/>
      <c r="H60" s="63" t="s">
        <v>12</v>
      </c>
      <c r="I60" s="169">
        <f t="shared" si="26"/>
        <v>0</v>
      </c>
      <c r="J60" s="222">
        <f t="shared" si="23"/>
        <v>0</v>
      </c>
      <c r="K60" s="86">
        <f t="shared" si="24"/>
        <v>0</v>
      </c>
      <c r="L60" s="223">
        <f t="shared" si="25"/>
        <v>0</v>
      </c>
      <c r="M60" s="102"/>
      <c r="O60" s="244">
        <v>20.9</v>
      </c>
      <c r="P60" s="244">
        <v>26.85</v>
      </c>
      <c r="Q60" s="244">
        <v>4.4899999999999984</v>
      </c>
      <c r="R60" s="244">
        <v>31.34</v>
      </c>
    </row>
    <row r="61" spans="1:18" s="238" customFormat="1" ht="51" x14ac:dyDescent="0.2">
      <c r="A61" s="25" t="s">
        <v>285</v>
      </c>
      <c r="B61" s="16" t="s">
        <v>508</v>
      </c>
      <c r="C61" s="17">
        <v>97086</v>
      </c>
      <c r="D61" s="18" t="s">
        <v>98</v>
      </c>
      <c r="E61" s="19" t="s">
        <v>36</v>
      </c>
      <c r="F61" s="20">
        <v>6.93</v>
      </c>
      <c r="G61" s="86"/>
      <c r="H61" s="63" t="s">
        <v>12</v>
      </c>
      <c r="I61" s="169">
        <f t="shared" si="26"/>
        <v>0</v>
      </c>
      <c r="J61" s="222">
        <f t="shared" si="23"/>
        <v>0</v>
      </c>
      <c r="K61" s="86">
        <f t="shared" si="24"/>
        <v>0</v>
      </c>
      <c r="L61" s="223">
        <f t="shared" si="25"/>
        <v>0</v>
      </c>
      <c r="M61" s="102"/>
      <c r="O61" s="244">
        <v>168.4</v>
      </c>
      <c r="P61" s="244">
        <v>1312.89</v>
      </c>
      <c r="Q61" s="244">
        <v>145.87999999999988</v>
      </c>
      <c r="R61" s="244">
        <v>1458.77</v>
      </c>
    </row>
    <row r="62" spans="1:18" s="238" customFormat="1" ht="25.5" x14ac:dyDescent="0.2">
      <c r="A62" s="25" t="s">
        <v>286</v>
      </c>
      <c r="B62" s="16" t="s">
        <v>509</v>
      </c>
      <c r="C62" s="17" t="s">
        <v>99</v>
      </c>
      <c r="D62" s="18" t="s">
        <v>100</v>
      </c>
      <c r="E62" s="19" t="s">
        <v>36</v>
      </c>
      <c r="F62" s="20">
        <v>67.47</v>
      </c>
      <c r="G62" s="86"/>
      <c r="H62" s="63" t="s">
        <v>12</v>
      </c>
      <c r="I62" s="169">
        <f t="shared" si="26"/>
        <v>0</v>
      </c>
      <c r="J62" s="222">
        <f t="shared" si="23"/>
        <v>0</v>
      </c>
      <c r="K62" s="86">
        <f t="shared" si="24"/>
        <v>0</v>
      </c>
      <c r="L62" s="223">
        <f t="shared" si="25"/>
        <v>0</v>
      </c>
      <c r="M62" s="102"/>
      <c r="O62" s="244">
        <v>201.44</v>
      </c>
      <c r="P62" s="244">
        <v>15730.289999999999</v>
      </c>
      <c r="Q62" s="244">
        <v>1258.6600000000017</v>
      </c>
      <c r="R62" s="244">
        <v>16988.95</v>
      </c>
    </row>
    <row r="63" spans="1:18" s="238" customFormat="1" ht="25.5" x14ac:dyDescent="0.2">
      <c r="A63" s="25" t="s">
        <v>287</v>
      </c>
      <c r="B63" s="16" t="s">
        <v>508</v>
      </c>
      <c r="C63" s="17">
        <v>92801</v>
      </c>
      <c r="D63" s="18" t="s">
        <v>101</v>
      </c>
      <c r="E63" s="19" t="s">
        <v>73</v>
      </c>
      <c r="F63" s="20">
        <v>8.73</v>
      </c>
      <c r="G63" s="86"/>
      <c r="H63" s="63" t="s">
        <v>12</v>
      </c>
      <c r="I63" s="169">
        <f t="shared" si="26"/>
        <v>0</v>
      </c>
      <c r="J63" s="222">
        <f t="shared" si="23"/>
        <v>0</v>
      </c>
      <c r="K63" s="86">
        <f t="shared" si="24"/>
        <v>0</v>
      </c>
      <c r="L63" s="223">
        <f t="shared" si="25"/>
        <v>0</v>
      </c>
      <c r="M63" s="102"/>
      <c r="O63" s="244">
        <v>8.85</v>
      </c>
      <c r="P63" s="244">
        <v>82.57</v>
      </c>
      <c r="Q63" s="244">
        <v>13.980000000000004</v>
      </c>
      <c r="R63" s="244">
        <v>96.55</v>
      </c>
    </row>
    <row r="64" spans="1:18" s="238" customFormat="1" ht="25.5" x14ac:dyDescent="0.2">
      <c r="A64" s="25" t="s">
        <v>288</v>
      </c>
      <c r="B64" s="16" t="s">
        <v>508</v>
      </c>
      <c r="C64" s="17">
        <v>92800</v>
      </c>
      <c r="D64" s="18" t="s">
        <v>102</v>
      </c>
      <c r="E64" s="19" t="s">
        <v>73</v>
      </c>
      <c r="F64" s="21">
        <v>4.0999999999999996</v>
      </c>
      <c r="G64" s="86"/>
      <c r="H64" s="63" t="s">
        <v>12</v>
      </c>
      <c r="I64" s="169">
        <f t="shared" si="26"/>
        <v>0</v>
      </c>
      <c r="J64" s="222">
        <f t="shared" si="23"/>
        <v>0</v>
      </c>
      <c r="K64" s="86">
        <f t="shared" si="24"/>
        <v>0</v>
      </c>
      <c r="L64" s="223">
        <f t="shared" si="25"/>
        <v>0</v>
      </c>
      <c r="M64" s="102"/>
      <c r="O64" s="244">
        <v>9.2200000000000006</v>
      </c>
      <c r="P64" s="244">
        <v>40.510000000000005</v>
      </c>
      <c r="Q64" s="244">
        <v>6.7199999999999918</v>
      </c>
      <c r="R64" s="244">
        <v>47.23</v>
      </c>
    </row>
    <row r="65" spans="1:18" s="238" customFormat="1" ht="25.5" x14ac:dyDescent="0.2">
      <c r="A65" s="25" t="s">
        <v>289</v>
      </c>
      <c r="B65" s="16" t="s">
        <v>508</v>
      </c>
      <c r="C65" s="17">
        <v>92801</v>
      </c>
      <c r="D65" s="18" t="s">
        <v>103</v>
      </c>
      <c r="E65" s="19" t="s">
        <v>73</v>
      </c>
      <c r="F65" s="20">
        <v>348.4</v>
      </c>
      <c r="G65" s="86"/>
      <c r="H65" s="63" t="s">
        <v>12</v>
      </c>
      <c r="I65" s="169">
        <f t="shared" si="26"/>
        <v>0</v>
      </c>
      <c r="J65" s="222">
        <f t="shared" si="23"/>
        <v>0</v>
      </c>
      <c r="K65" s="86">
        <f t="shared" si="24"/>
        <v>0</v>
      </c>
      <c r="L65" s="223">
        <f t="shared" si="25"/>
        <v>0</v>
      </c>
      <c r="M65" s="102"/>
      <c r="O65" s="244">
        <v>8.85</v>
      </c>
      <c r="P65" s="244">
        <v>3295.5099999999998</v>
      </c>
      <c r="Q65" s="244">
        <v>557.79000000000042</v>
      </c>
      <c r="R65" s="244">
        <v>3853.3</v>
      </c>
    </row>
    <row r="66" spans="1:18" s="238" customFormat="1" ht="25.5" x14ac:dyDescent="0.2">
      <c r="A66" s="25" t="s">
        <v>290</v>
      </c>
      <c r="B66" s="16" t="s">
        <v>508</v>
      </c>
      <c r="C66" s="17">
        <v>92802</v>
      </c>
      <c r="D66" s="18" t="s">
        <v>104</v>
      </c>
      <c r="E66" s="19" t="s">
        <v>73</v>
      </c>
      <c r="F66" s="21">
        <v>354.2</v>
      </c>
      <c r="G66" s="86"/>
      <c r="H66" s="63" t="s">
        <v>12</v>
      </c>
      <c r="I66" s="169">
        <f t="shared" si="26"/>
        <v>0</v>
      </c>
      <c r="J66" s="222">
        <f t="shared" si="23"/>
        <v>0</v>
      </c>
      <c r="K66" s="86">
        <f t="shared" si="24"/>
        <v>0</v>
      </c>
      <c r="L66" s="223">
        <f t="shared" si="25"/>
        <v>0</v>
      </c>
      <c r="M66" s="102"/>
      <c r="O66" s="244">
        <v>8.5399999999999991</v>
      </c>
      <c r="P66" s="244">
        <v>3235.61</v>
      </c>
      <c r="Q66" s="244">
        <v>543.69999999999982</v>
      </c>
      <c r="R66" s="244">
        <v>3779.31</v>
      </c>
    </row>
    <row r="67" spans="1:18" s="238" customFormat="1" ht="63.75" x14ac:dyDescent="0.2">
      <c r="A67" s="25" t="s">
        <v>291</v>
      </c>
      <c r="B67" s="22" t="s">
        <v>510</v>
      </c>
      <c r="C67" s="17">
        <v>70070301</v>
      </c>
      <c r="D67" s="18" t="s">
        <v>105</v>
      </c>
      <c r="E67" s="19" t="s">
        <v>57</v>
      </c>
      <c r="F67" s="20">
        <v>14.3</v>
      </c>
      <c r="G67" s="86"/>
      <c r="H67" s="63" t="s">
        <v>12</v>
      </c>
      <c r="I67" s="169">
        <f t="shared" si="26"/>
        <v>0</v>
      </c>
      <c r="J67" s="222">
        <f t="shared" si="23"/>
        <v>0</v>
      </c>
      <c r="K67" s="86">
        <f t="shared" si="24"/>
        <v>0</v>
      </c>
      <c r="L67" s="223">
        <f t="shared" si="25"/>
        <v>0</v>
      </c>
      <c r="M67" s="102"/>
      <c r="O67" s="244">
        <v>809.96</v>
      </c>
      <c r="P67" s="244">
        <v>13021.74</v>
      </c>
      <c r="Q67" s="244">
        <v>1456.3000000000011</v>
      </c>
      <c r="R67" s="244">
        <v>14478.04</v>
      </c>
    </row>
    <row r="68" spans="1:18" s="238" customFormat="1" ht="25.5" x14ac:dyDescent="0.2">
      <c r="A68" s="25" t="s">
        <v>292</v>
      </c>
      <c r="B68" s="22" t="s">
        <v>508</v>
      </c>
      <c r="C68" s="17">
        <v>45146</v>
      </c>
      <c r="D68" s="18" t="s">
        <v>106</v>
      </c>
      <c r="E68" s="19" t="s">
        <v>73</v>
      </c>
      <c r="F68" s="20">
        <v>71.5</v>
      </c>
      <c r="G68" s="86"/>
      <c r="H68" s="63" t="s">
        <v>12</v>
      </c>
      <c r="I68" s="169">
        <f t="shared" si="26"/>
        <v>0</v>
      </c>
      <c r="J68" s="222">
        <f t="shared" si="23"/>
        <v>0</v>
      </c>
      <c r="K68" s="86">
        <f t="shared" si="24"/>
        <v>0</v>
      </c>
      <c r="L68" s="223">
        <f t="shared" si="25"/>
        <v>0</v>
      </c>
      <c r="M68" s="102"/>
      <c r="O68" s="244">
        <v>32.479999999999997</v>
      </c>
      <c r="P68" s="244">
        <v>2604.2399999999998</v>
      </c>
      <c r="Q68" s="244">
        <v>298.66000000000031</v>
      </c>
      <c r="R68" s="244">
        <v>2902.9</v>
      </c>
    </row>
    <row r="69" spans="1:18" s="238" customFormat="1" ht="25.5" x14ac:dyDescent="0.2">
      <c r="A69" s="25" t="s">
        <v>293</v>
      </c>
      <c r="B69" s="16" t="s">
        <v>509</v>
      </c>
      <c r="C69" s="17" t="s">
        <v>107</v>
      </c>
      <c r="D69" s="18" t="str">
        <f>UPPER("Lançamento e adensamento de concreto ou massa por bombeamento")</f>
        <v>LANÇAMENTO E ADENSAMENTO DE CONCRETO OU MASSA POR BOMBEAMENTO</v>
      </c>
      <c r="E69" s="19" t="s">
        <v>57</v>
      </c>
      <c r="F69" s="20">
        <v>14.3</v>
      </c>
      <c r="G69" s="86"/>
      <c r="H69" s="63" t="s">
        <v>12</v>
      </c>
      <c r="I69" s="169">
        <f t="shared" si="26"/>
        <v>0</v>
      </c>
      <c r="J69" s="222">
        <f t="shared" si="23"/>
        <v>0</v>
      </c>
      <c r="K69" s="86">
        <f t="shared" si="24"/>
        <v>0</v>
      </c>
      <c r="L69" s="223">
        <f t="shared" si="25"/>
        <v>0</v>
      </c>
      <c r="M69" s="102"/>
      <c r="O69" s="244">
        <v>140.58000000000001</v>
      </c>
      <c r="P69" s="244">
        <v>2170.2600000000002</v>
      </c>
      <c r="Q69" s="244">
        <v>342.53999999999996</v>
      </c>
      <c r="R69" s="244">
        <v>2512.8000000000002</v>
      </c>
    </row>
    <row r="70" spans="1:18" s="238" customFormat="1" ht="25.5" x14ac:dyDescent="0.2">
      <c r="A70" s="25" t="s">
        <v>294</v>
      </c>
      <c r="B70" s="16" t="s">
        <v>510</v>
      </c>
      <c r="C70" s="17" t="s">
        <v>109</v>
      </c>
      <c r="D70" s="18" t="s">
        <v>110</v>
      </c>
      <c r="E70" s="19" t="s">
        <v>68</v>
      </c>
      <c r="F70" s="20">
        <v>1</v>
      </c>
      <c r="G70" s="86"/>
      <c r="H70" s="63" t="s">
        <v>12</v>
      </c>
      <c r="I70" s="169">
        <f>TRUNC(G70*(1+HLOOKUP(H70,$F$6:$I$7,2,FALSE)),2)</f>
        <v>0</v>
      </c>
      <c r="J70" s="222">
        <f t="shared" si="23"/>
        <v>0</v>
      </c>
      <c r="K70" s="86">
        <f t="shared" si="24"/>
        <v>0</v>
      </c>
      <c r="L70" s="223">
        <f t="shared" si="25"/>
        <v>0</v>
      </c>
      <c r="M70" s="102"/>
      <c r="O70" s="244">
        <v>5196.66</v>
      </c>
      <c r="P70" s="244">
        <v>5493.74</v>
      </c>
      <c r="Q70" s="244">
        <v>1002.0799999999999</v>
      </c>
      <c r="R70" s="244">
        <v>6495.82</v>
      </c>
    </row>
    <row r="71" spans="1:18" s="238" customFormat="1" ht="25.5" x14ac:dyDescent="0.2">
      <c r="A71" s="25" t="s">
        <v>295</v>
      </c>
      <c r="B71" s="16" t="s">
        <v>510</v>
      </c>
      <c r="C71" s="17" t="s">
        <v>111</v>
      </c>
      <c r="D71" s="18" t="s">
        <v>112</v>
      </c>
      <c r="E71" s="19" t="s">
        <v>68</v>
      </c>
      <c r="F71" s="20">
        <v>1</v>
      </c>
      <c r="G71" s="86"/>
      <c r="H71" s="63" t="s">
        <v>12</v>
      </c>
      <c r="I71" s="169">
        <f>TRUNC(G71*(1+HLOOKUP(H71,$F$6:$I$7,2,FALSE)),2)</f>
        <v>0</v>
      </c>
      <c r="J71" s="222">
        <f t="shared" si="23"/>
        <v>0</v>
      </c>
      <c r="K71" s="86">
        <f t="shared" si="24"/>
        <v>0</v>
      </c>
      <c r="L71" s="223">
        <f t="shared" si="25"/>
        <v>0</v>
      </c>
      <c r="M71" s="102"/>
      <c r="O71" s="244">
        <v>559.02</v>
      </c>
      <c r="P71" s="244">
        <v>628.45999999999992</v>
      </c>
      <c r="Q71" s="244">
        <v>70.310000000000059</v>
      </c>
      <c r="R71" s="244">
        <v>698.77</v>
      </c>
    </row>
    <row r="72" spans="1:18" s="239" customFormat="1" ht="30" customHeight="1" x14ac:dyDescent="0.2">
      <c r="A72" s="159">
        <v>8</v>
      </c>
      <c r="B72" s="160"/>
      <c r="C72" s="161"/>
      <c r="D72" s="186" t="s">
        <v>296</v>
      </c>
      <c r="E72" s="246"/>
      <c r="F72" s="247"/>
      <c r="G72" s="247"/>
      <c r="H72" s="247"/>
      <c r="I72" s="247"/>
      <c r="J72" s="178">
        <f>SUM(J73:J84)</f>
        <v>0</v>
      </c>
      <c r="K72" s="163">
        <f>SUM(K73:K84)</f>
        <v>0</v>
      </c>
      <c r="L72" s="179">
        <f>SUM(L73:L84)</f>
        <v>0</v>
      </c>
      <c r="M72" s="164" t="e">
        <f>L72/$L$207</f>
        <v>#DIV/0!</v>
      </c>
      <c r="O72" s="244"/>
      <c r="P72" s="244">
        <v>16411.57</v>
      </c>
      <c r="Q72" s="244">
        <v>4702.4099999999989</v>
      </c>
      <c r="R72" s="244">
        <v>21113.98</v>
      </c>
    </row>
    <row r="73" spans="1:18" s="238" customFormat="1" ht="38.25" x14ac:dyDescent="0.2">
      <c r="A73" s="25" t="s">
        <v>229</v>
      </c>
      <c r="B73" s="16" t="s">
        <v>508</v>
      </c>
      <c r="C73" s="17">
        <v>101173</v>
      </c>
      <c r="D73" s="18" t="s">
        <v>114</v>
      </c>
      <c r="E73" s="19" t="s">
        <v>53</v>
      </c>
      <c r="F73" s="20">
        <v>24</v>
      </c>
      <c r="G73" s="86"/>
      <c r="H73" s="63" t="s">
        <v>12</v>
      </c>
      <c r="I73" s="169">
        <f t="shared" ref="I73:I84" si="27">TRUNC(G73*(1+HLOOKUP(H73,$F$6:$I$7,2,FALSE)),2)</f>
        <v>0</v>
      </c>
      <c r="J73" s="222">
        <f t="shared" ref="J73:J84" si="28">IF(G73="",0,IF($L$7=0,P73,ROUND($R$7*L73,2)))</f>
        <v>0</v>
      </c>
      <c r="K73" s="86">
        <f t="shared" ref="K73:K84" si="29">L73-J73</f>
        <v>0</v>
      </c>
      <c r="L73" s="223">
        <f t="shared" ref="L73:L84" si="30">ROUND(F73*I73,2)</f>
        <v>0</v>
      </c>
      <c r="M73" s="102"/>
      <c r="O73" s="244">
        <v>69.97</v>
      </c>
      <c r="P73" s="244">
        <v>1804.68</v>
      </c>
      <c r="Q73" s="244">
        <v>294.3599999999999</v>
      </c>
      <c r="R73" s="244">
        <v>2099.04</v>
      </c>
    </row>
    <row r="74" spans="1:18" s="238" customFormat="1" ht="38.25" x14ac:dyDescent="0.2">
      <c r="A74" s="25" t="s">
        <v>232</v>
      </c>
      <c r="B74" s="16" t="s">
        <v>508</v>
      </c>
      <c r="C74" s="17">
        <v>96536</v>
      </c>
      <c r="D74" s="18" t="s">
        <v>115</v>
      </c>
      <c r="E74" s="19" t="s">
        <v>36</v>
      </c>
      <c r="F74" s="20">
        <v>15.46</v>
      </c>
      <c r="G74" s="86"/>
      <c r="H74" s="63" t="s">
        <v>12</v>
      </c>
      <c r="I74" s="169">
        <f t="shared" si="27"/>
        <v>0</v>
      </c>
      <c r="J74" s="222">
        <f t="shared" si="28"/>
        <v>0</v>
      </c>
      <c r="K74" s="86">
        <f t="shared" si="29"/>
        <v>0</v>
      </c>
      <c r="L74" s="223">
        <f t="shared" si="30"/>
        <v>0</v>
      </c>
      <c r="M74" s="102"/>
      <c r="O74" s="244">
        <v>82.01</v>
      </c>
      <c r="P74" s="244">
        <v>1381.79</v>
      </c>
      <c r="Q74" s="244">
        <v>203.01</v>
      </c>
      <c r="R74" s="244">
        <v>1584.8</v>
      </c>
    </row>
    <row r="75" spans="1:18" s="238" customFormat="1" ht="25.5" x14ac:dyDescent="0.2">
      <c r="A75" s="25" t="s">
        <v>234</v>
      </c>
      <c r="B75" s="16" t="s">
        <v>509</v>
      </c>
      <c r="C75" s="17" t="s">
        <v>116</v>
      </c>
      <c r="D75" s="18" t="str">
        <f>UPPER("Lastro de pedra britada")</f>
        <v>LASTRO DE PEDRA BRITADA</v>
      </c>
      <c r="E75" s="19" t="s">
        <v>57</v>
      </c>
      <c r="F75" s="20">
        <v>0.26</v>
      </c>
      <c r="G75" s="86"/>
      <c r="H75" s="63" t="s">
        <v>12</v>
      </c>
      <c r="I75" s="169">
        <f t="shared" si="27"/>
        <v>0</v>
      </c>
      <c r="J75" s="222">
        <f t="shared" si="28"/>
        <v>0</v>
      </c>
      <c r="K75" s="86">
        <f t="shared" si="29"/>
        <v>0</v>
      </c>
      <c r="L75" s="223">
        <f t="shared" si="30"/>
        <v>0</v>
      </c>
      <c r="M75" s="102"/>
      <c r="O75" s="244">
        <v>228.38</v>
      </c>
      <c r="P75" s="244">
        <v>64.8</v>
      </c>
      <c r="Q75" s="244">
        <v>9.4200000000000017</v>
      </c>
      <c r="R75" s="244">
        <v>74.22</v>
      </c>
    </row>
    <row r="76" spans="1:18" s="238" customFormat="1" ht="38.25" x14ac:dyDescent="0.2">
      <c r="A76" s="25" t="s">
        <v>235</v>
      </c>
      <c r="B76" s="16" t="s">
        <v>508</v>
      </c>
      <c r="C76" s="17">
        <v>96543</v>
      </c>
      <c r="D76" s="18" t="s">
        <v>117</v>
      </c>
      <c r="E76" s="19" t="s">
        <v>73</v>
      </c>
      <c r="F76" s="20">
        <v>17.2</v>
      </c>
      <c r="G76" s="86"/>
      <c r="H76" s="63" t="s">
        <v>12</v>
      </c>
      <c r="I76" s="169">
        <f t="shared" si="27"/>
        <v>0</v>
      </c>
      <c r="J76" s="222">
        <f t="shared" si="28"/>
        <v>0</v>
      </c>
      <c r="K76" s="86">
        <f t="shared" si="29"/>
        <v>0</v>
      </c>
      <c r="L76" s="223">
        <f t="shared" si="30"/>
        <v>0</v>
      </c>
      <c r="M76" s="102"/>
      <c r="O76" s="244">
        <v>22.69</v>
      </c>
      <c r="P76" s="244">
        <v>419.66</v>
      </c>
      <c r="Q76" s="244">
        <v>68.13</v>
      </c>
      <c r="R76" s="244">
        <v>487.79</v>
      </c>
    </row>
    <row r="77" spans="1:18" s="238" customFormat="1" ht="38.25" x14ac:dyDescent="0.2">
      <c r="A77" s="25" t="s">
        <v>237</v>
      </c>
      <c r="B77" s="16" t="s">
        <v>508</v>
      </c>
      <c r="C77" s="17">
        <v>96545</v>
      </c>
      <c r="D77" s="18" t="s">
        <v>118</v>
      </c>
      <c r="E77" s="19" t="s">
        <v>73</v>
      </c>
      <c r="F77" s="20">
        <v>44.2</v>
      </c>
      <c r="G77" s="86"/>
      <c r="H77" s="63" t="s">
        <v>12</v>
      </c>
      <c r="I77" s="169">
        <f t="shared" si="27"/>
        <v>0</v>
      </c>
      <c r="J77" s="222">
        <f t="shared" si="28"/>
        <v>0</v>
      </c>
      <c r="K77" s="86">
        <f t="shared" si="29"/>
        <v>0</v>
      </c>
      <c r="L77" s="223">
        <f t="shared" si="30"/>
        <v>0</v>
      </c>
      <c r="M77" s="102"/>
      <c r="O77" s="244">
        <v>16.72</v>
      </c>
      <c r="P77" s="244">
        <v>794</v>
      </c>
      <c r="Q77" s="244">
        <v>129.77999999999997</v>
      </c>
      <c r="R77" s="244">
        <v>923.78</v>
      </c>
    </row>
    <row r="78" spans="1:18" s="238" customFormat="1" ht="38.25" x14ac:dyDescent="0.2">
      <c r="A78" s="25" t="s">
        <v>240</v>
      </c>
      <c r="B78" s="16" t="s">
        <v>508</v>
      </c>
      <c r="C78" s="17">
        <v>96557</v>
      </c>
      <c r="D78" s="18" t="s">
        <v>119</v>
      </c>
      <c r="E78" s="19" t="s">
        <v>57</v>
      </c>
      <c r="F78" s="20">
        <v>1.55</v>
      </c>
      <c r="G78" s="86"/>
      <c r="H78" s="63" t="s">
        <v>12</v>
      </c>
      <c r="I78" s="169">
        <f t="shared" si="27"/>
        <v>0</v>
      </c>
      <c r="J78" s="222">
        <f t="shared" si="28"/>
        <v>0</v>
      </c>
      <c r="K78" s="86">
        <f t="shared" si="29"/>
        <v>0</v>
      </c>
      <c r="L78" s="223">
        <f t="shared" si="30"/>
        <v>0</v>
      </c>
      <c r="M78" s="102"/>
      <c r="O78" s="244">
        <v>710.11</v>
      </c>
      <c r="P78" s="244">
        <v>1131.44</v>
      </c>
      <c r="Q78" s="244">
        <v>244.38999999999987</v>
      </c>
      <c r="R78" s="244">
        <v>1375.83</v>
      </c>
    </row>
    <row r="79" spans="1:18" s="238" customFormat="1" ht="25.5" x14ac:dyDescent="0.2">
      <c r="A79" s="25" t="s">
        <v>297</v>
      </c>
      <c r="B79" s="16" t="s">
        <v>510</v>
      </c>
      <c r="C79" s="17">
        <v>70190090</v>
      </c>
      <c r="D79" s="18" t="s">
        <v>120</v>
      </c>
      <c r="E79" s="19" t="s">
        <v>68</v>
      </c>
      <c r="F79" s="20">
        <v>24</v>
      </c>
      <c r="G79" s="86"/>
      <c r="H79" s="63" t="s">
        <v>12</v>
      </c>
      <c r="I79" s="169">
        <f t="shared" si="27"/>
        <v>0</v>
      </c>
      <c r="J79" s="222">
        <f t="shared" si="28"/>
        <v>0</v>
      </c>
      <c r="K79" s="86">
        <f t="shared" si="29"/>
        <v>0</v>
      </c>
      <c r="L79" s="223">
        <f t="shared" si="30"/>
        <v>0</v>
      </c>
      <c r="M79" s="102"/>
      <c r="O79" s="244">
        <v>6.98</v>
      </c>
      <c r="P79" s="244">
        <v>192.45</v>
      </c>
      <c r="Q79" s="244">
        <v>16.830000000000013</v>
      </c>
      <c r="R79" s="244">
        <v>209.28</v>
      </c>
    </row>
    <row r="80" spans="1:18" s="238" customFormat="1" ht="25.5" x14ac:dyDescent="0.2">
      <c r="A80" s="25" t="s">
        <v>298</v>
      </c>
      <c r="B80" s="16" t="s">
        <v>510</v>
      </c>
      <c r="C80" s="17">
        <v>70190091</v>
      </c>
      <c r="D80" s="18" t="s">
        <v>121</v>
      </c>
      <c r="E80" s="19" t="s">
        <v>68</v>
      </c>
      <c r="F80" s="20">
        <v>10</v>
      </c>
      <c r="G80" s="86"/>
      <c r="H80" s="63" t="s">
        <v>12</v>
      </c>
      <c r="I80" s="169">
        <f t="shared" si="27"/>
        <v>0</v>
      </c>
      <c r="J80" s="222">
        <f t="shared" si="28"/>
        <v>0</v>
      </c>
      <c r="K80" s="86">
        <f t="shared" si="29"/>
        <v>0</v>
      </c>
      <c r="L80" s="223">
        <f t="shared" si="30"/>
        <v>0</v>
      </c>
      <c r="M80" s="102"/>
      <c r="O80" s="244">
        <v>8.26</v>
      </c>
      <c r="P80" s="244">
        <v>94.23</v>
      </c>
      <c r="Q80" s="244">
        <v>8.9699999999999989</v>
      </c>
      <c r="R80" s="244">
        <v>103.2</v>
      </c>
    </row>
    <row r="81" spans="1:18" s="238" customFormat="1" ht="51" x14ac:dyDescent="0.2">
      <c r="A81" s="25" t="s">
        <v>299</v>
      </c>
      <c r="B81" s="16" t="s">
        <v>508</v>
      </c>
      <c r="C81" s="17">
        <v>103320</v>
      </c>
      <c r="D81" s="18" t="s">
        <v>122</v>
      </c>
      <c r="E81" s="19" t="s">
        <v>36</v>
      </c>
      <c r="F81" s="20">
        <v>32.159999999999997</v>
      </c>
      <c r="G81" s="86"/>
      <c r="H81" s="63" t="s">
        <v>12</v>
      </c>
      <c r="I81" s="169">
        <f t="shared" si="27"/>
        <v>0</v>
      </c>
      <c r="J81" s="222">
        <f t="shared" si="28"/>
        <v>0</v>
      </c>
      <c r="K81" s="86">
        <f t="shared" si="29"/>
        <v>0</v>
      </c>
      <c r="L81" s="223">
        <f t="shared" si="30"/>
        <v>0</v>
      </c>
      <c r="M81" s="102"/>
      <c r="O81" s="244">
        <v>142.5</v>
      </c>
      <c r="P81" s="244">
        <v>4739.8600000000006</v>
      </c>
      <c r="Q81" s="244">
        <v>988.47999999999956</v>
      </c>
      <c r="R81" s="244">
        <v>5728.34</v>
      </c>
    </row>
    <row r="82" spans="1:18" s="238" customFormat="1" ht="51" x14ac:dyDescent="0.2">
      <c r="A82" s="25" t="s">
        <v>300</v>
      </c>
      <c r="B82" s="16" t="s">
        <v>508</v>
      </c>
      <c r="C82" s="17">
        <v>93205</v>
      </c>
      <c r="D82" s="18" t="s">
        <v>123</v>
      </c>
      <c r="E82" s="19" t="s">
        <v>53</v>
      </c>
      <c r="F82" s="20">
        <v>57.4</v>
      </c>
      <c r="G82" s="86"/>
      <c r="H82" s="63" t="s">
        <v>12</v>
      </c>
      <c r="I82" s="169">
        <f t="shared" si="27"/>
        <v>0</v>
      </c>
      <c r="J82" s="222">
        <f t="shared" si="28"/>
        <v>0</v>
      </c>
      <c r="K82" s="86">
        <f t="shared" si="29"/>
        <v>0</v>
      </c>
      <c r="L82" s="223">
        <f t="shared" si="30"/>
        <v>0</v>
      </c>
      <c r="M82" s="102"/>
      <c r="O82" s="244">
        <v>98.63</v>
      </c>
      <c r="P82" s="244">
        <v>4591.0200000000004</v>
      </c>
      <c r="Q82" s="244">
        <v>2485.25</v>
      </c>
      <c r="R82" s="244">
        <v>7076.27</v>
      </c>
    </row>
    <row r="83" spans="1:18" s="238" customFormat="1" ht="25.5" x14ac:dyDescent="0.2">
      <c r="A83" s="25" t="s">
        <v>301</v>
      </c>
      <c r="B83" s="16" t="s">
        <v>508</v>
      </c>
      <c r="C83" s="17">
        <v>89996</v>
      </c>
      <c r="D83" s="18" t="s">
        <v>124</v>
      </c>
      <c r="E83" s="19" t="s">
        <v>73</v>
      </c>
      <c r="F83" s="20">
        <v>34</v>
      </c>
      <c r="G83" s="86"/>
      <c r="H83" s="63" t="s">
        <v>12</v>
      </c>
      <c r="I83" s="169">
        <f t="shared" si="27"/>
        <v>0</v>
      </c>
      <c r="J83" s="222">
        <f t="shared" si="28"/>
        <v>0</v>
      </c>
      <c r="K83" s="86">
        <f t="shared" si="29"/>
        <v>0</v>
      </c>
      <c r="L83" s="223">
        <f t="shared" si="30"/>
        <v>0</v>
      </c>
      <c r="M83" s="102"/>
      <c r="O83" s="244">
        <v>11.08</v>
      </c>
      <c r="P83" s="244">
        <v>377.90999999999997</v>
      </c>
      <c r="Q83" s="244">
        <v>92.990000000000009</v>
      </c>
      <c r="R83" s="244">
        <v>470.9</v>
      </c>
    </row>
    <row r="84" spans="1:18" s="238" customFormat="1" ht="25.5" x14ac:dyDescent="0.2">
      <c r="A84" s="25" t="s">
        <v>302</v>
      </c>
      <c r="B84" s="16" t="s">
        <v>508</v>
      </c>
      <c r="C84" s="17">
        <v>89993</v>
      </c>
      <c r="D84" s="18" t="s">
        <v>125</v>
      </c>
      <c r="E84" s="19" t="s">
        <v>57</v>
      </c>
      <c r="F84" s="20">
        <v>0.65</v>
      </c>
      <c r="G84" s="86"/>
      <c r="H84" s="63" t="s">
        <v>12</v>
      </c>
      <c r="I84" s="169">
        <f t="shared" si="27"/>
        <v>0</v>
      </c>
      <c r="J84" s="222">
        <f t="shared" si="28"/>
        <v>0</v>
      </c>
      <c r="K84" s="86">
        <f t="shared" si="29"/>
        <v>0</v>
      </c>
      <c r="L84" s="223">
        <f t="shared" si="30"/>
        <v>0</v>
      </c>
      <c r="M84" s="102"/>
      <c r="O84" s="244">
        <v>1206.8</v>
      </c>
      <c r="P84" s="244">
        <v>819.73</v>
      </c>
      <c r="Q84" s="244">
        <v>160.79999999999995</v>
      </c>
      <c r="R84" s="244">
        <v>980.53</v>
      </c>
    </row>
    <row r="85" spans="1:18" s="239" customFormat="1" ht="30" customHeight="1" x14ac:dyDescent="0.2">
      <c r="A85" s="159">
        <v>9</v>
      </c>
      <c r="B85" s="160"/>
      <c r="C85" s="161"/>
      <c r="D85" s="186" t="s">
        <v>303</v>
      </c>
      <c r="E85" s="246"/>
      <c r="F85" s="247"/>
      <c r="G85" s="247"/>
      <c r="H85" s="247"/>
      <c r="I85" s="247"/>
      <c r="J85" s="178">
        <f>SUM(J86:J89)</f>
        <v>0</v>
      </c>
      <c r="K85" s="163">
        <f>SUM(K86:K89)</f>
        <v>0</v>
      </c>
      <c r="L85" s="179">
        <f>SUM(L86:L89)</f>
        <v>0</v>
      </c>
      <c r="M85" s="164" t="e">
        <f>L85/$L$207</f>
        <v>#DIV/0!</v>
      </c>
      <c r="O85" s="244"/>
      <c r="P85" s="244">
        <v>1754.8400000000001</v>
      </c>
      <c r="Q85" s="244">
        <v>307.3</v>
      </c>
      <c r="R85" s="244">
        <v>2062.14</v>
      </c>
    </row>
    <row r="86" spans="1:18" s="238" customFormat="1" ht="51" x14ac:dyDescent="0.2">
      <c r="A86" s="25" t="s">
        <v>243</v>
      </c>
      <c r="B86" s="16" t="s">
        <v>508</v>
      </c>
      <c r="C86" s="17">
        <v>101166</v>
      </c>
      <c r="D86" s="18" t="s">
        <v>127</v>
      </c>
      <c r="E86" s="19" t="s">
        <v>57</v>
      </c>
      <c r="F86" s="20">
        <v>1.27</v>
      </c>
      <c r="G86" s="86"/>
      <c r="H86" s="63" t="s">
        <v>12</v>
      </c>
      <c r="I86" s="169">
        <f t="shared" ref="I86:I89" si="31">TRUNC(G86*(1+HLOOKUP(H86,$F$6:$I$7,2,FALSE)),2)</f>
        <v>0</v>
      </c>
      <c r="J86" s="222">
        <f>IF(G86="",0,IF($L$7=0,P86,ROUND($R$7*L86,2)))</f>
        <v>0</v>
      </c>
      <c r="K86" s="86">
        <f t="shared" ref="K86:K89" si="32">L86-J86</f>
        <v>0</v>
      </c>
      <c r="L86" s="223">
        <f t="shared" ref="L86:L89" si="33">ROUND(F86*I86,2)</f>
        <v>0</v>
      </c>
      <c r="M86" s="102"/>
      <c r="O86" s="244">
        <v>790.59</v>
      </c>
      <c r="P86" s="244">
        <v>1068.1099999999999</v>
      </c>
      <c r="Q86" s="244">
        <v>186.94000000000005</v>
      </c>
      <c r="R86" s="244">
        <v>1255.05</v>
      </c>
    </row>
    <row r="87" spans="1:18" s="238" customFormat="1" ht="25.5" x14ac:dyDescent="0.2">
      <c r="A87" s="25" t="s">
        <v>245</v>
      </c>
      <c r="B87" s="16" t="s">
        <v>509</v>
      </c>
      <c r="C87" s="17" t="s">
        <v>128</v>
      </c>
      <c r="D87" s="18" t="s">
        <v>129</v>
      </c>
      <c r="E87" s="19" t="s">
        <v>36</v>
      </c>
      <c r="F87" s="20">
        <v>4.43</v>
      </c>
      <c r="G87" s="86"/>
      <c r="H87" s="63" t="s">
        <v>12</v>
      </c>
      <c r="I87" s="169">
        <f t="shared" si="31"/>
        <v>0</v>
      </c>
      <c r="J87" s="222">
        <f>IF(G87="",0,IF($L$7=0,P87,ROUND($R$7*L87,2)))</f>
        <v>0</v>
      </c>
      <c r="K87" s="86">
        <f t="shared" si="32"/>
        <v>0</v>
      </c>
      <c r="L87" s="223">
        <f t="shared" si="33"/>
        <v>0</v>
      </c>
      <c r="M87" s="102"/>
      <c r="O87" s="244">
        <v>7.19</v>
      </c>
      <c r="P87" s="244">
        <v>33.96</v>
      </c>
      <c r="Q87" s="244">
        <v>5.82</v>
      </c>
      <c r="R87" s="244">
        <v>39.78</v>
      </c>
    </row>
    <row r="88" spans="1:18" s="238" customFormat="1" ht="25.5" x14ac:dyDescent="0.2">
      <c r="A88" s="25" t="s">
        <v>247</v>
      </c>
      <c r="B88" s="16" t="s">
        <v>509</v>
      </c>
      <c r="C88" s="17" t="s">
        <v>130</v>
      </c>
      <c r="D88" s="18" t="s">
        <v>131</v>
      </c>
      <c r="E88" s="19" t="s">
        <v>36</v>
      </c>
      <c r="F88" s="20">
        <v>4.43</v>
      </c>
      <c r="G88" s="86"/>
      <c r="H88" s="63" t="s">
        <v>12</v>
      </c>
      <c r="I88" s="169">
        <f t="shared" si="31"/>
        <v>0</v>
      </c>
      <c r="J88" s="222">
        <f>IF(G88="",0,IF($L$7=0,P88,ROUND($R$7*L88,2)))</f>
        <v>0</v>
      </c>
      <c r="K88" s="86">
        <f t="shared" si="32"/>
        <v>0</v>
      </c>
      <c r="L88" s="223">
        <f t="shared" si="33"/>
        <v>0</v>
      </c>
      <c r="M88" s="102"/>
      <c r="O88" s="244">
        <v>25.62</v>
      </c>
      <c r="P88" s="244">
        <v>122.72000000000001</v>
      </c>
      <c r="Q88" s="244">
        <v>19.129999999999981</v>
      </c>
      <c r="R88" s="244">
        <v>141.85</v>
      </c>
    </row>
    <row r="89" spans="1:18" s="238" customFormat="1" ht="25.5" x14ac:dyDescent="0.2">
      <c r="A89" s="25" t="s">
        <v>248</v>
      </c>
      <c r="B89" s="16" t="s">
        <v>508</v>
      </c>
      <c r="C89" s="17">
        <v>99857</v>
      </c>
      <c r="D89" s="18" t="s">
        <v>132</v>
      </c>
      <c r="E89" s="19" t="s">
        <v>53</v>
      </c>
      <c r="F89" s="20">
        <v>6.8</v>
      </c>
      <c r="G89" s="86"/>
      <c r="H89" s="63" t="s">
        <v>12</v>
      </c>
      <c r="I89" s="169">
        <f t="shared" si="31"/>
        <v>0</v>
      </c>
      <c r="J89" s="222">
        <f>IF(G89="",0,IF($L$7=0,P89,ROUND($R$7*L89,2)))</f>
        <v>0</v>
      </c>
      <c r="K89" s="86">
        <f t="shared" si="32"/>
        <v>0</v>
      </c>
      <c r="L89" s="223">
        <f t="shared" si="33"/>
        <v>0</v>
      </c>
      <c r="M89" s="102"/>
      <c r="O89" s="244">
        <v>73.59</v>
      </c>
      <c r="P89" s="244">
        <v>530.05000000000007</v>
      </c>
      <c r="Q89" s="244">
        <v>95.409999999999968</v>
      </c>
      <c r="R89" s="244">
        <v>625.46</v>
      </c>
    </row>
    <row r="90" spans="1:18" s="239" customFormat="1" ht="30" customHeight="1" x14ac:dyDescent="0.2">
      <c r="A90" s="159">
        <v>10</v>
      </c>
      <c r="B90" s="160"/>
      <c r="C90" s="161"/>
      <c r="D90" s="186" t="s">
        <v>304</v>
      </c>
      <c r="E90" s="246"/>
      <c r="F90" s="247"/>
      <c r="G90" s="247"/>
      <c r="H90" s="247"/>
      <c r="I90" s="247"/>
      <c r="J90" s="178">
        <f>SUM(J91:J94)</f>
        <v>0</v>
      </c>
      <c r="K90" s="163">
        <f>SUM(K91:K94)</f>
        <v>0</v>
      </c>
      <c r="L90" s="179">
        <f>SUM(L91:L94)</f>
        <v>0</v>
      </c>
      <c r="M90" s="164" t="e">
        <f>L90/$L$207</f>
        <v>#DIV/0!</v>
      </c>
      <c r="O90" s="244"/>
      <c r="P90" s="244">
        <v>2640.16</v>
      </c>
      <c r="Q90" s="244">
        <v>474.81999999999994</v>
      </c>
      <c r="R90" s="244">
        <v>3114.9799999999996</v>
      </c>
    </row>
    <row r="91" spans="1:18" s="238" customFormat="1" ht="25.5" x14ac:dyDescent="0.2">
      <c r="A91" s="25" t="s">
        <v>305</v>
      </c>
      <c r="B91" s="16" t="s">
        <v>509</v>
      </c>
      <c r="C91" s="17" t="s">
        <v>134</v>
      </c>
      <c r="D91" s="18" t="s">
        <v>135</v>
      </c>
      <c r="E91" s="19" t="s">
        <v>57</v>
      </c>
      <c r="F91" s="20">
        <v>14.66</v>
      </c>
      <c r="G91" s="86"/>
      <c r="H91" s="63" t="s">
        <v>12</v>
      </c>
      <c r="I91" s="169">
        <f t="shared" ref="I91:I94" si="34">TRUNC(G91*(1+HLOOKUP(H91,$F$6:$I$7,2,FALSE)),2)</f>
        <v>0</v>
      </c>
      <c r="J91" s="222">
        <f>IF(G91="",0,IF($L$7=0,P91,ROUND($R$7*L91,2)))</f>
        <v>0</v>
      </c>
      <c r="K91" s="86">
        <f t="shared" ref="K91:K94" si="35">L91-J91</f>
        <v>0</v>
      </c>
      <c r="L91" s="223">
        <f t="shared" ref="L91:L94" si="36">ROUND(F91*I91,2)</f>
        <v>0</v>
      </c>
      <c r="M91" s="102"/>
      <c r="O91" s="244">
        <v>22.29</v>
      </c>
      <c r="P91" s="244">
        <v>349.38</v>
      </c>
      <c r="Q91" s="244">
        <v>59.050000000000011</v>
      </c>
      <c r="R91" s="244">
        <v>408.43</v>
      </c>
    </row>
    <row r="92" spans="1:18" s="238" customFormat="1" ht="38.25" x14ac:dyDescent="0.2">
      <c r="A92" s="25" t="s">
        <v>306</v>
      </c>
      <c r="B92" s="16" t="s">
        <v>508</v>
      </c>
      <c r="C92" s="17">
        <v>96622</v>
      </c>
      <c r="D92" s="18" t="s">
        <v>136</v>
      </c>
      <c r="E92" s="19" t="s">
        <v>57</v>
      </c>
      <c r="F92" s="20">
        <v>1.05</v>
      </c>
      <c r="G92" s="86"/>
      <c r="H92" s="63" t="s">
        <v>12</v>
      </c>
      <c r="I92" s="169">
        <f t="shared" si="34"/>
        <v>0</v>
      </c>
      <c r="J92" s="222">
        <f>IF(G92="",0,IF($L$7=0,P92,ROUND($R$7*L92,2)))</f>
        <v>0</v>
      </c>
      <c r="K92" s="86">
        <f t="shared" si="35"/>
        <v>0</v>
      </c>
      <c r="L92" s="223">
        <f t="shared" si="36"/>
        <v>0</v>
      </c>
      <c r="M92" s="102"/>
      <c r="O92" s="244">
        <v>218.15</v>
      </c>
      <c r="P92" s="244">
        <v>237.32999999999998</v>
      </c>
      <c r="Q92" s="244">
        <v>48.980000000000018</v>
      </c>
      <c r="R92" s="244">
        <v>286.31</v>
      </c>
    </row>
    <row r="93" spans="1:18" s="238" customFormat="1" ht="51" x14ac:dyDescent="0.2">
      <c r="A93" s="25" t="s">
        <v>307</v>
      </c>
      <c r="B93" s="16" t="s">
        <v>508</v>
      </c>
      <c r="C93" s="17">
        <v>97087</v>
      </c>
      <c r="D93" s="18" t="s">
        <v>96</v>
      </c>
      <c r="E93" s="19" t="s">
        <v>36</v>
      </c>
      <c r="F93" s="20">
        <v>20.94</v>
      </c>
      <c r="G93" s="86"/>
      <c r="H93" s="63" t="s">
        <v>12</v>
      </c>
      <c r="I93" s="169">
        <f t="shared" si="34"/>
        <v>0</v>
      </c>
      <c r="J93" s="222">
        <f>IF(G93="",0,IF($L$7=0,P93,ROUND($R$7*L93,2)))</f>
        <v>0</v>
      </c>
      <c r="K93" s="86">
        <f t="shared" si="35"/>
        <v>0</v>
      </c>
      <c r="L93" s="223">
        <f t="shared" si="36"/>
        <v>0</v>
      </c>
      <c r="M93" s="102"/>
      <c r="O93" s="244">
        <v>3.15</v>
      </c>
      <c r="P93" s="244">
        <v>70.850000000000009</v>
      </c>
      <c r="Q93" s="244">
        <v>11.439999999999998</v>
      </c>
      <c r="R93" s="244">
        <v>82.29</v>
      </c>
    </row>
    <row r="94" spans="1:18" s="238" customFormat="1" ht="76.5" x14ac:dyDescent="0.2">
      <c r="A94" s="25" t="s">
        <v>308</v>
      </c>
      <c r="B94" s="16" t="s">
        <v>508</v>
      </c>
      <c r="C94" s="17">
        <v>94995</v>
      </c>
      <c r="D94" s="18" t="s">
        <v>137</v>
      </c>
      <c r="E94" s="19" t="s">
        <v>36</v>
      </c>
      <c r="F94" s="20">
        <v>20.94</v>
      </c>
      <c r="G94" s="86"/>
      <c r="H94" s="63" t="s">
        <v>12</v>
      </c>
      <c r="I94" s="169">
        <f t="shared" si="34"/>
        <v>0</v>
      </c>
      <c r="J94" s="222">
        <f>IF(G94="",0,IF($L$7=0,P94,ROUND($R$7*L94,2)))</f>
        <v>0</v>
      </c>
      <c r="K94" s="86">
        <f t="shared" si="35"/>
        <v>0</v>
      </c>
      <c r="L94" s="223">
        <f t="shared" si="36"/>
        <v>0</v>
      </c>
      <c r="M94" s="102"/>
      <c r="O94" s="244">
        <v>89.32</v>
      </c>
      <c r="P94" s="244">
        <v>1982.6</v>
      </c>
      <c r="Q94" s="244">
        <v>355.34999999999991</v>
      </c>
      <c r="R94" s="244">
        <v>2337.9499999999998</v>
      </c>
    </row>
    <row r="95" spans="1:18" s="239" customFormat="1" ht="30" customHeight="1" x14ac:dyDescent="0.2">
      <c r="A95" s="159">
        <v>11</v>
      </c>
      <c r="B95" s="160"/>
      <c r="C95" s="161"/>
      <c r="D95" s="186" t="s">
        <v>309</v>
      </c>
      <c r="E95" s="246"/>
      <c r="F95" s="247"/>
      <c r="G95" s="247"/>
      <c r="H95" s="247"/>
      <c r="I95" s="247"/>
      <c r="J95" s="178">
        <f>SUM(J96:J101)</f>
        <v>0</v>
      </c>
      <c r="K95" s="163">
        <f>SUM(K96:K101)</f>
        <v>0</v>
      </c>
      <c r="L95" s="179">
        <f>SUM(L96:L101)</f>
        <v>0</v>
      </c>
      <c r="M95" s="164" t="e">
        <f>L95/$L$207</f>
        <v>#DIV/0!</v>
      </c>
      <c r="O95" s="244"/>
      <c r="P95" s="244">
        <v>35055.660000000003</v>
      </c>
      <c r="Q95" s="244">
        <v>14316.57</v>
      </c>
      <c r="R95" s="244">
        <v>49372.229999999996</v>
      </c>
    </row>
    <row r="96" spans="1:18" s="238" customFormat="1" ht="38.25" x14ac:dyDescent="0.2">
      <c r="A96" s="103" t="s">
        <v>310</v>
      </c>
      <c r="B96" s="16" t="s">
        <v>509</v>
      </c>
      <c r="C96" s="101" t="s">
        <v>493</v>
      </c>
      <c r="D96" s="104" t="s">
        <v>494</v>
      </c>
      <c r="E96" s="105" t="s">
        <v>36</v>
      </c>
      <c r="F96" s="21">
        <v>0.77</v>
      </c>
      <c r="G96" s="86"/>
      <c r="H96" s="63" t="s">
        <v>12</v>
      </c>
      <c r="I96" s="170">
        <f t="shared" ref="I96:I101" si="37">TRUNC(G96*(1+HLOOKUP(H96,$F$6:$I$7,2,FALSE)),2)</f>
        <v>0</v>
      </c>
      <c r="J96" s="222">
        <f t="shared" ref="J96:J101" si="38">IF(G96="",0,IF($L$7=0,P96,ROUND($R$7*L96,2)))</f>
        <v>0</v>
      </c>
      <c r="K96" s="86">
        <f t="shared" ref="K96:K101" si="39">L96-J96</f>
        <v>0</v>
      </c>
      <c r="L96" s="223">
        <f t="shared" ref="L96:L101" si="40">ROUND(F96*I96,2)</f>
        <v>0</v>
      </c>
      <c r="M96" s="174"/>
      <c r="N96" s="240">
        <v>3242.26</v>
      </c>
      <c r="O96" s="244">
        <v>5791.36</v>
      </c>
      <c r="P96" s="244">
        <v>2918.03</v>
      </c>
      <c r="Q96" s="244">
        <v>2656.15</v>
      </c>
      <c r="R96" s="244">
        <v>5574.18</v>
      </c>
    </row>
    <row r="97" spans="1:18" s="238" customFormat="1" ht="38.25" x14ac:dyDescent="0.2">
      <c r="A97" s="103" t="s">
        <v>311</v>
      </c>
      <c r="B97" s="16" t="s">
        <v>509</v>
      </c>
      <c r="C97" s="101" t="s">
        <v>493</v>
      </c>
      <c r="D97" s="104" t="s">
        <v>495</v>
      </c>
      <c r="E97" s="105" t="s">
        <v>36</v>
      </c>
      <c r="F97" s="21">
        <v>0.38</v>
      </c>
      <c r="G97" s="86"/>
      <c r="H97" s="63" t="s">
        <v>12</v>
      </c>
      <c r="I97" s="170">
        <f t="shared" si="37"/>
        <v>0</v>
      </c>
      <c r="J97" s="222">
        <f t="shared" si="38"/>
        <v>0</v>
      </c>
      <c r="K97" s="86">
        <f t="shared" si="39"/>
        <v>0</v>
      </c>
      <c r="L97" s="223">
        <f t="shared" si="40"/>
        <v>0</v>
      </c>
      <c r="M97" s="174"/>
      <c r="N97" s="240">
        <v>1600.08</v>
      </c>
      <c r="O97" s="244">
        <v>5791.36</v>
      </c>
      <c r="P97" s="244">
        <v>1440.07</v>
      </c>
      <c r="Q97" s="244">
        <v>1310.8300000000002</v>
      </c>
      <c r="R97" s="244">
        <v>2750.9</v>
      </c>
    </row>
    <row r="98" spans="1:18" s="238" customFormat="1" ht="38.25" x14ac:dyDescent="0.2">
      <c r="A98" s="103" t="s">
        <v>312</v>
      </c>
      <c r="B98" s="16" t="s">
        <v>509</v>
      </c>
      <c r="C98" s="101" t="s">
        <v>493</v>
      </c>
      <c r="D98" s="104" t="s">
        <v>496</v>
      </c>
      <c r="E98" s="105" t="s">
        <v>36</v>
      </c>
      <c r="F98" s="21">
        <v>1.84</v>
      </c>
      <c r="G98" s="86"/>
      <c r="H98" s="63" t="s">
        <v>12</v>
      </c>
      <c r="I98" s="170">
        <f t="shared" si="37"/>
        <v>0</v>
      </c>
      <c r="J98" s="222">
        <f t="shared" si="38"/>
        <v>0</v>
      </c>
      <c r="K98" s="86">
        <f t="shared" si="39"/>
        <v>0</v>
      </c>
      <c r="L98" s="223">
        <f t="shared" si="40"/>
        <v>0</v>
      </c>
      <c r="M98" s="174"/>
      <c r="N98" s="240">
        <v>7747.74</v>
      </c>
      <c r="O98" s="244">
        <v>5791.36</v>
      </c>
      <c r="P98" s="244">
        <v>6972.96</v>
      </c>
      <c r="Q98" s="244">
        <v>6347.1699999999992</v>
      </c>
      <c r="R98" s="244">
        <v>13320.13</v>
      </c>
    </row>
    <row r="99" spans="1:18" s="238" customFormat="1" ht="25.5" x14ac:dyDescent="0.2">
      <c r="A99" s="103" t="s">
        <v>313</v>
      </c>
      <c r="B99" s="16" t="s">
        <v>510</v>
      </c>
      <c r="C99" s="101">
        <v>70140133</v>
      </c>
      <c r="D99" s="104" t="s">
        <v>140</v>
      </c>
      <c r="E99" s="105" t="s">
        <v>36</v>
      </c>
      <c r="F99" s="21">
        <v>2.98</v>
      </c>
      <c r="G99" s="86"/>
      <c r="H99" s="63" t="s">
        <v>12</v>
      </c>
      <c r="I99" s="170">
        <f t="shared" si="37"/>
        <v>0</v>
      </c>
      <c r="J99" s="222">
        <f t="shared" si="38"/>
        <v>0</v>
      </c>
      <c r="K99" s="86">
        <f t="shared" si="39"/>
        <v>0</v>
      </c>
      <c r="L99" s="223">
        <f t="shared" si="40"/>
        <v>0</v>
      </c>
      <c r="M99" s="199"/>
      <c r="O99" s="244">
        <v>383.78</v>
      </c>
      <c r="P99" s="244">
        <v>1286.6600000000001</v>
      </c>
      <c r="Q99" s="244">
        <v>142.90999999999985</v>
      </c>
      <c r="R99" s="244">
        <v>1429.57</v>
      </c>
    </row>
    <row r="100" spans="1:18" s="238" customFormat="1" ht="89.25" x14ac:dyDescent="0.2">
      <c r="A100" s="103" t="s">
        <v>314</v>
      </c>
      <c r="B100" s="16" t="s">
        <v>510</v>
      </c>
      <c r="C100" s="101">
        <v>70140141</v>
      </c>
      <c r="D100" s="104" t="s">
        <v>142</v>
      </c>
      <c r="E100" s="105" t="s">
        <v>68</v>
      </c>
      <c r="F100" s="21">
        <v>2</v>
      </c>
      <c r="G100" s="86"/>
      <c r="H100" s="63" t="s">
        <v>12</v>
      </c>
      <c r="I100" s="170">
        <f t="shared" si="37"/>
        <v>0</v>
      </c>
      <c r="J100" s="222">
        <f t="shared" si="38"/>
        <v>0</v>
      </c>
      <c r="K100" s="86">
        <f t="shared" si="39"/>
        <v>0</v>
      </c>
      <c r="L100" s="223">
        <f t="shared" si="40"/>
        <v>0</v>
      </c>
      <c r="M100" s="174"/>
      <c r="O100" s="244">
        <v>9489.5400000000009</v>
      </c>
      <c r="P100" s="244">
        <v>19886.61</v>
      </c>
      <c r="Q100" s="244">
        <v>3837.2299999999996</v>
      </c>
      <c r="R100" s="244">
        <v>23723.84</v>
      </c>
    </row>
    <row r="101" spans="1:18" s="238" customFormat="1" ht="25.5" x14ac:dyDescent="0.2">
      <c r="A101" s="103" t="s">
        <v>315</v>
      </c>
      <c r="B101" s="16" t="s">
        <v>510</v>
      </c>
      <c r="C101" s="101">
        <v>70110087</v>
      </c>
      <c r="D101" s="104" t="s">
        <v>143</v>
      </c>
      <c r="E101" s="105" t="s">
        <v>36</v>
      </c>
      <c r="F101" s="21">
        <v>0.67</v>
      </c>
      <c r="G101" s="86"/>
      <c r="H101" s="63" t="s">
        <v>12</v>
      </c>
      <c r="I101" s="170">
        <f t="shared" si="37"/>
        <v>0</v>
      </c>
      <c r="J101" s="222">
        <f t="shared" si="38"/>
        <v>0</v>
      </c>
      <c r="K101" s="86">
        <f t="shared" si="39"/>
        <v>0</v>
      </c>
      <c r="L101" s="223">
        <f t="shared" si="40"/>
        <v>0</v>
      </c>
      <c r="M101" s="174"/>
      <c r="O101" s="244">
        <v>3072.97</v>
      </c>
      <c r="P101" s="244">
        <v>2551.33</v>
      </c>
      <c r="Q101" s="244">
        <v>22.2800000000002</v>
      </c>
      <c r="R101" s="244">
        <v>2573.61</v>
      </c>
    </row>
    <row r="102" spans="1:18" s="239" customFormat="1" ht="30" customHeight="1" x14ac:dyDescent="0.2">
      <c r="A102" s="159">
        <v>12</v>
      </c>
      <c r="B102" s="160"/>
      <c r="C102" s="161"/>
      <c r="D102" s="186" t="s">
        <v>316</v>
      </c>
      <c r="E102" s="246"/>
      <c r="F102" s="247"/>
      <c r="G102" s="247"/>
      <c r="H102" s="247"/>
      <c r="I102" s="247"/>
      <c r="J102" s="178">
        <f>SUM(J103:J103)</f>
        <v>0</v>
      </c>
      <c r="K102" s="163">
        <f>SUM(K103:K103)</f>
        <v>0</v>
      </c>
      <c r="L102" s="179">
        <f>SUM(L103:L103)</f>
        <v>0</v>
      </c>
      <c r="M102" s="164" t="e">
        <f>L102/$L$207</f>
        <v>#DIV/0!</v>
      </c>
      <c r="O102" s="244"/>
      <c r="P102" s="244">
        <v>1081.27</v>
      </c>
      <c r="Q102" s="244">
        <v>173.01999999999998</v>
      </c>
      <c r="R102" s="244">
        <v>1254.29</v>
      </c>
    </row>
    <row r="103" spans="1:18" s="238" customFormat="1" ht="89.25" x14ac:dyDescent="0.2">
      <c r="A103" s="187" t="s">
        <v>317</v>
      </c>
      <c r="B103" s="16" t="s">
        <v>508</v>
      </c>
      <c r="C103" s="17">
        <v>93368</v>
      </c>
      <c r="D103" s="18" t="s">
        <v>145</v>
      </c>
      <c r="E103" s="19" t="s">
        <v>57</v>
      </c>
      <c r="F103" s="20">
        <v>40.99</v>
      </c>
      <c r="G103" s="86"/>
      <c r="H103" s="63" t="s">
        <v>12</v>
      </c>
      <c r="I103" s="169">
        <f t="shared" ref="I103" si="41">TRUNC(G103*(1+HLOOKUP(H103,$F$6:$I$7,2,FALSE)),2)</f>
        <v>0</v>
      </c>
      <c r="J103" s="222">
        <f>IF(G103="",0,IF($L$7=0,P103,ROUND($R$7*L103,2)))</f>
        <v>0</v>
      </c>
      <c r="K103" s="86">
        <f t="shared" ref="K103" si="42">L103-J103</f>
        <v>0</v>
      </c>
      <c r="L103" s="223">
        <f t="shared" ref="L103" si="43">ROUND(F103*I103,2)</f>
        <v>0</v>
      </c>
      <c r="M103" s="175"/>
      <c r="O103" s="244">
        <v>24.48</v>
      </c>
      <c r="P103" s="244">
        <v>1081.27</v>
      </c>
      <c r="Q103" s="244">
        <v>173.01999999999998</v>
      </c>
      <c r="R103" s="244">
        <v>1254.29</v>
      </c>
    </row>
    <row r="104" spans="1:18" s="239" customFormat="1" ht="30" customHeight="1" x14ac:dyDescent="0.2">
      <c r="A104" s="159">
        <v>13</v>
      </c>
      <c r="B104" s="160"/>
      <c r="C104" s="161"/>
      <c r="D104" s="162" t="s">
        <v>318</v>
      </c>
      <c r="E104" s="246"/>
      <c r="F104" s="247"/>
      <c r="G104" s="247"/>
      <c r="H104" s="247"/>
      <c r="I104" s="247"/>
      <c r="J104" s="178">
        <f>SUM(J105:J112)</f>
        <v>0</v>
      </c>
      <c r="K104" s="163">
        <f>SUM(K105:K112)</f>
        <v>0</v>
      </c>
      <c r="L104" s="179">
        <f>SUM(L105:L112)</f>
        <v>0</v>
      </c>
      <c r="M104" s="164" t="e">
        <f>L104/$L$207</f>
        <v>#DIV/0!</v>
      </c>
      <c r="O104" s="244"/>
      <c r="P104" s="244">
        <v>174242.01</v>
      </c>
      <c r="Q104" s="244">
        <v>31174.720000000008</v>
      </c>
      <c r="R104" s="244">
        <v>205416.72999999998</v>
      </c>
    </row>
    <row r="105" spans="1:18" s="238" customFormat="1" ht="25.5" x14ac:dyDescent="0.2">
      <c r="A105" s="25" t="s">
        <v>319</v>
      </c>
      <c r="B105" s="81" t="s">
        <v>509</v>
      </c>
      <c r="C105" s="108" t="s">
        <v>148</v>
      </c>
      <c r="D105" s="109" t="str">
        <f>UPPER("Projeto executivo de estrutura em formato A1")</f>
        <v>PROJETO EXECUTIVO DE ESTRUTURA EM FORMATO A1</v>
      </c>
      <c r="E105" s="110" t="s">
        <v>68</v>
      </c>
      <c r="F105" s="20">
        <v>2</v>
      </c>
      <c r="G105" s="86"/>
      <c r="H105" s="63" t="s">
        <v>12</v>
      </c>
      <c r="I105" s="169">
        <f t="shared" ref="I105" si="44">TRUNC(G105*(1+HLOOKUP(H105,$F$6:$I$7,2,FALSE)),2)</f>
        <v>0</v>
      </c>
      <c r="J105" s="222">
        <f t="shared" ref="J105:J112" si="45">IF(G105="",0,IF($L$7=0,P105,ROUND($R$7*L105,2)))</f>
        <v>0</v>
      </c>
      <c r="K105" s="86">
        <f t="shared" ref="K105:K112" si="46">L105-J105</f>
        <v>0</v>
      </c>
      <c r="L105" s="223">
        <f t="shared" ref="L105:L112" si="47">ROUND(F105*I105,2)</f>
        <v>0</v>
      </c>
      <c r="M105" s="176"/>
      <c r="O105" s="244">
        <v>2795.27</v>
      </c>
      <c r="P105" s="244">
        <v>5981.0700000000006</v>
      </c>
      <c r="Q105" s="244">
        <v>1007.0899999999992</v>
      </c>
      <c r="R105" s="244">
        <v>6988.16</v>
      </c>
    </row>
    <row r="106" spans="1:18" s="238" customFormat="1" ht="51" x14ac:dyDescent="0.2">
      <c r="A106" s="25" t="s">
        <v>320</v>
      </c>
      <c r="B106" s="16" t="s">
        <v>508</v>
      </c>
      <c r="C106" s="17">
        <v>97083</v>
      </c>
      <c r="D106" s="18" t="s">
        <v>92</v>
      </c>
      <c r="E106" s="19" t="s">
        <v>36</v>
      </c>
      <c r="F106" s="20">
        <v>59.01</v>
      </c>
      <c r="G106" s="86"/>
      <c r="H106" s="63" t="s">
        <v>12</v>
      </c>
      <c r="I106" s="169">
        <f>TRUNC(G106*(1+HLOOKUP(H106,$F$6:$I$7,2,FALSE)),2)</f>
        <v>0</v>
      </c>
      <c r="J106" s="222">
        <f t="shared" si="45"/>
        <v>0</v>
      </c>
      <c r="K106" s="86">
        <f t="shared" si="46"/>
        <v>0</v>
      </c>
      <c r="L106" s="223">
        <f t="shared" si="47"/>
        <v>0</v>
      </c>
      <c r="M106" s="102"/>
      <c r="O106" s="244">
        <v>5.1100000000000003</v>
      </c>
      <c r="P106" s="244">
        <v>300.60000000000002</v>
      </c>
      <c r="Q106" s="244">
        <v>75.88</v>
      </c>
      <c r="R106" s="244">
        <v>376.48</v>
      </c>
    </row>
    <row r="107" spans="1:18" s="238" customFormat="1" ht="25.5" x14ac:dyDescent="0.2">
      <c r="A107" s="25" t="s">
        <v>321</v>
      </c>
      <c r="B107" s="16" t="s">
        <v>508</v>
      </c>
      <c r="C107" s="17">
        <v>105136</v>
      </c>
      <c r="D107" s="18" t="s">
        <v>46</v>
      </c>
      <c r="E107" s="19" t="s">
        <v>47</v>
      </c>
      <c r="F107" s="20">
        <v>1</v>
      </c>
      <c r="G107" s="86"/>
      <c r="H107" s="63" t="s">
        <v>12</v>
      </c>
      <c r="I107" s="169">
        <f t="shared" ref="I107" si="48">TRUNC(G107*(1+HLOOKUP(H107,$F$6:$I$7,2,FALSE)),2)</f>
        <v>0</v>
      </c>
      <c r="J107" s="222">
        <f t="shared" si="45"/>
        <v>0</v>
      </c>
      <c r="K107" s="86">
        <f t="shared" si="46"/>
        <v>0</v>
      </c>
      <c r="L107" s="223">
        <f t="shared" si="47"/>
        <v>0</v>
      </c>
      <c r="M107" s="102"/>
      <c r="O107" s="244">
        <v>40.42</v>
      </c>
      <c r="P107" s="244">
        <v>45.33</v>
      </c>
      <c r="Q107" s="244">
        <v>5.1900000000000048</v>
      </c>
      <c r="R107" s="244">
        <v>50.52</v>
      </c>
    </row>
    <row r="108" spans="1:18" s="238" customFormat="1" ht="25.5" x14ac:dyDescent="0.2">
      <c r="A108" s="25" t="s">
        <v>322</v>
      </c>
      <c r="B108" s="16" t="s">
        <v>509</v>
      </c>
      <c r="C108" s="17" t="s">
        <v>93</v>
      </c>
      <c r="D108" s="18" t="s">
        <v>94</v>
      </c>
      <c r="E108" s="19" t="s">
        <v>36</v>
      </c>
      <c r="F108" s="20">
        <v>59.01</v>
      </c>
      <c r="G108" s="86"/>
      <c r="H108" s="63" t="s">
        <v>12</v>
      </c>
      <c r="I108" s="169">
        <f>TRUNC(G108*(1+HLOOKUP(H108,$F$6:$I$7,2,FALSE)),2)</f>
        <v>0</v>
      </c>
      <c r="J108" s="222">
        <f t="shared" si="45"/>
        <v>0</v>
      </c>
      <c r="K108" s="86">
        <f t="shared" si="46"/>
        <v>0</v>
      </c>
      <c r="L108" s="223">
        <f t="shared" si="47"/>
        <v>0</v>
      </c>
      <c r="M108" s="102"/>
      <c r="O108" s="244">
        <v>18.25</v>
      </c>
      <c r="P108" s="244">
        <v>1196.55</v>
      </c>
      <c r="Q108" s="244">
        <v>149.47000000000003</v>
      </c>
      <c r="R108" s="244">
        <v>1346.02</v>
      </c>
    </row>
    <row r="109" spans="1:18" s="238" customFormat="1" ht="38.25" x14ac:dyDescent="0.2">
      <c r="A109" s="103" t="s">
        <v>323</v>
      </c>
      <c r="B109" s="16" t="s">
        <v>139</v>
      </c>
      <c r="C109" s="101" t="s">
        <v>425</v>
      </c>
      <c r="D109" s="104" t="s">
        <v>430</v>
      </c>
      <c r="E109" s="105" t="s">
        <v>47</v>
      </c>
      <c r="F109" s="21">
        <v>2</v>
      </c>
      <c r="G109" s="86"/>
      <c r="H109" s="63" t="s">
        <v>13</v>
      </c>
      <c r="I109" s="170">
        <f t="shared" ref="I109:I111" si="49">TRUNC(G109*(1+HLOOKUP(H109,$F$6:$I$7,2,FALSE)),2)</f>
        <v>0</v>
      </c>
      <c r="J109" s="222">
        <f t="shared" si="45"/>
        <v>0</v>
      </c>
      <c r="K109" s="86">
        <f t="shared" si="46"/>
        <v>0</v>
      </c>
      <c r="L109" s="223">
        <f t="shared" si="47"/>
        <v>0</v>
      </c>
      <c r="M109" s="174"/>
      <c r="O109" s="244">
        <v>78438.67</v>
      </c>
      <c r="P109" s="244">
        <v>150869.16</v>
      </c>
      <c r="Q109" s="244">
        <v>28002.380000000005</v>
      </c>
      <c r="R109" s="244">
        <v>178871.54</v>
      </c>
    </row>
    <row r="110" spans="1:18" s="238" customFormat="1" ht="25.5" x14ac:dyDescent="0.2">
      <c r="A110" s="25" t="s">
        <v>324</v>
      </c>
      <c r="B110" s="16" t="s">
        <v>150</v>
      </c>
      <c r="C110" s="17" t="s">
        <v>151</v>
      </c>
      <c r="D110" s="18" t="str">
        <f>'ANEXO IX.3 - COMPOSIÇÕES'!D13</f>
        <v>TRANSPORTE DE TANQUE EM PRFV POSTO EM OBRA - FRETE</v>
      </c>
      <c r="E110" s="19" t="s">
        <v>47</v>
      </c>
      <c r="F110" s="20">
        <v>2</v>
      </c>
      <c r="G110" s="86"/>
      <c r="H110" s="63" t="s">
        <v>12</v>
      </c>
      <c r="I110" s="169">
        <f t="shared" si="49"/>
        <v>0</v>
      </c>
      <c r="J110" s="222">
        <f t="shared" si="45"/>
        <v>0</v>
      </c>
      <c r="K110" s="86">
        <f t="shared" si="46"/>
        <v>0</v>
      </c>
      <c r="L110" s="223">
        <f t="shared" si="47"/>
        <v>0</v>
      </c>
      <c r="M110" s="102"/>
      <c r="O110" s="244">
        <v>1684.35</v>
      </c>
      <c r="P110" s="244">
        <v>3951.45</v>
      </c>
      <c r="Q110" s="244">
        <v>259.40999999999985</v>
      </c>
      <c r="R110" s="244">
        <v>4210.8599999999997</v>
      </c>
    </row>
    <row r="111" spans="1:18" s="238" customFormat="1" ht="15.75" x14ac:dyDescent="0.2">
      <c r="A111" s="25" t="s">
        <v>325</v>
      </c>
      <c r="B111" s="16" t="s">
        <v>150</v>
      </c>
      <c r="C111" s="101" t="s">
        <v>152</v>
      </c>
      <c r="D111" s="18" t="str">
        <f>'ANEXO IX.3 - COMPOSIÇÕES'!D16</f>
        <v>INSTALAÇÃO DE TANQUES DE PRFV</v>
      </c>
      <c r="E111" s="19" t="s">
        <v>47</v>
      </c>
      <c r="F111" s="20">
        <v>2</v>
      </c>
      <c r="G111" s="86"/>
      <c r="H111" s="63" t="s">
        <v>12</v>
      </c>
      <c r="I111" s="169">
        <f t="shared" si="49"/>
        <v>0</v>
      </c>
      <c r="J111" s="222">
        <f t="shared" si="45"/>
        <v>0</v>
      </c>
      <c r="K111" s="86">
        <f t="shared" si="46"/>
        <v>0</v>
      </c>
      <c r="L111" s="223">
        <f t="shared" si="47"/>
        <v>0</v>
      </c>
      <c r="M111" s="102"/>
      <c r="O111" s="244">
        <v>4511.76</v>
      </c>
      <c r="P111" s="244">
        <v>9653.07</v>
      </c>
      <c r="Q111" s="244">
        <v>1626.33</v>
      </c>
      <c r="R111" s="244">
        <v>11279.4</v>
      </c>
    </row>
    <row r="112" spans="1:18" s="238" customFormat="1" ht="51" x14ac:dyDescent="0.2">
      <c r="A112" s="25" t="s">
        <v>326</v>
      </c>
      <c r="B112" s="16" t="s">
        <v>510</v>
      </c>
      <c r="C112" s="101">
        <v>70110090</v>
      </c>
      <c r="D112" s="104" t="s">
        <v>154</v>
      </c>
      <c r="E112" s="105" t="s">
        <v>36</v>
      </c>
      <c r="F112" s="21">
        <v>1.1299999999999999</v>
      </c>
      <c r="G112" s="86"/>
      <c r="H112" s="63" t="s">
        <v>12</v>
      </c>
      <c r="I112" s="170">
        <f>TRUNC(G112*(1+HLOOKUP(H112,$F$6:$I$7,2,FALSE)),2)</f>
        <v>0</v>
      </c>
      <c r="J112" s="222">
        <f t="shared" si="45"/>
        <v>0</v>
      </c>
      <c r="K112" s="86">
        <f t="shared" si="46"/>
        <v>0</v>
      </c>
      <c r="L112" s="223">
        <f t="shared" si="47"/>
        <v>0</v>
      </c>
      <c r="M112" s="174"/>
      <c r="O112" s="244">
        <v>1623.9</v>
      </c>
      <c r="P112" s="244">
        <v>2244.7799999999997</v>
      </c>
      <c r="Q112" s="244">
        <v>48.970000000000255</v>
      </c>
      <c r="R112" s="244">
        <v>2293.75</v>
      </c>
    </row>
    <row r="113" spans="1:18" s="239" customFormat="1" ht="30" customHeight="1" x14ac:dyDescent="0.2">
      <c r="A113" s="159">
        <v>14</v>
      </c>
      <c r="B113" s="160"/>
      <c r="C113" s="161"/>
      <c r="D113" s="186" t="s">
        <v>327</v>
      </c>
      <c r="E113" s="246"/>
      <c r="F113" s="247"/>
      <c r="G113" s="247"/>
      <c r="H113" s="247"/>
      <c r="I113" s="247"/>
      <c r="J113" s="178">
        <f>SUM(J114:J123)</f>
        <v>0</v>
      </c>
      <c r="K113" s="163">
        <f>SUM(K114:K123)</f>
        <v>0</v>
      </c>
      <c r="L113" s="179">
        <f>SUM(L114:L123)</f>
        <v>0</v>
      </c>
      <c r="M113" s="164" t="e">
        <f>L113/$L$207</f>
        <v>#DIV/0!</v>
      </c>
      <c r="O113" s="244"/>
      <c r="P113" s="244">
        <v>17060.14</v>
      </c>
      <c r="Q113" s="244">
        <v>2384.5000000000014</v>
      </c>
      <c r="R113" s="244">
        <v>19444.64</v>
      </c>
    </row>
    <row r="114" spans="1:18" s="238" customFormat="1" ht="38.25" x14ac:dyDescent="0.2">
      <c r="A114" s="107" t="s">
        <v>328</v>
      </c>
      <c r="B114" s="16" t="s">
        <v>508</v>
      </c>
      <c r="C114" s="17">
        <v>101173</v>
      </c>
      <c r="D114" s="18" t="s">
        <v>114</v>
      </c>
      <c r="E114" s="19" t="s">
        <v>53</v>
      </c>
      <c r="F114" s="20">
        <v>16</v>
      </c>
      <c r="G114" s="86"/>
      <c r="H114" s="63" t="s">
        <v>12</v>
      </c>
      <c r="I114" s="169">
        <f t="shared" ref="I114" si="50">TRUNC(G114*(1+HLOOKUP(H114,$F$6:$I$7,2,FALSE)),2)</f>
        <v>0</v>
      </c>
      <c r="J114" s="222">
        <f t="shared" ref="J114:J123" si="51">IF(G114="",0,IF($L$7=0,P114,ROUND($R$7*L114,2)))</f>
        <v>0</v>
      </c>
      <c r="K114" s="86">
        <f t="shared" ref="K114:K123" si="52">L114-J114</f>
        <v>0</v>
      </c>
      <c r="L114" s="223">
        <f t="shared" ref="L114:L123" si="53">ROUND(F114*I114,2)</f>
        <v>0</v>
      </c>
      <c r="M114" s="174"/>
      <c r="O114" s="244">
        <v>69.97</v>
      </c>
      <c r="P114" s="244">
        <v>1203.1199999999999</v>
      </c>
      <c r="Q114" s="244">
        <v>196.24</v>
      </c>
      <c r="R114" s="244">
        <v>1399.36</v>
      </c>
    </row>
    <row r="115" spans="1:18" s="238" customFormat="1" ht="25.5" x14ac:dyDescent="0.2">
      <c r="A115" s="107" t="s">
        <v>329</v>
      </c>
      <c r="B115" s="16" t="s">
        <v>508</v>
      </c>
      <c r="C115" s="101">
        <v>96620</v>
      </c>
      <c r="D115" s="104" t="s">
        <v>155</v>
      </c>
      <c r="E115" s="105" t="s">
        <v>57</v>
      </c>
      <c r="F115" s="21">
        <v>0.17</v>
      </c>
      <c r="G115" s="86"/>
      <c r="H115" s="63" t="s">
        <v>12</v>
      </c>
      <c r="I115" s="170">
        <f>TRUNC(G115*(1+HLOOKUP(H115,$F$6:$I$7,2,FALSE)),2)</f>
        <v>0</v>
      </c>
      <c r="J115" s="222">
        <f t="shared" si="51"/>
        <v>0</v>
      </c>
      <c r="K115" s="86">
        <f t="shared" si="52"/>
        <v>0</v>
      </c>
      <c r="L115" s="223">
        <f t="shared" si="53"/>
        <v>0</v>
      </c>
      <c r="M115" s="174"/>
      <c r="O115" s="244">
        <v>794.6</v>
      </c>
      <c r="P115" s="244">
        <v>144.64999999999998</v>
      </c>
      <c r="Q115" s="244">
        <v>24.200000000000017</v>
      </c>
      <c r="R115" s="244">
        <v>168.85</v>
      </c>
    </row>
    <row r="116" spans="1:18" s="238" customFormat="1" ht="25.5" x14ac:dyDescent="0.2">
      <c r="A116" s="107" t="s">
        <v>330</v>
      </c>
      <c r="B116" s="16" t="s">
        <v>510</v>
      </c>
      <c r="C116" s="17">
        <v>70190091</v>
      </c>
      <c r="D116" s="18" t="s">
        <v>121</v>
      </c>
      <c r="E116" s="19" t="s">
        <v>68</v>
      </c>
      <c r="F116" s="20">
        <v>22</v>
      </c>
      <c r="G116" s="86"/>
      <c r="H116" s="63" t="s">
        <v>12</v>
      </c>
      <c r="I116" s="169">
        <f t="shared" ref="I116:I122" si="54">TRUNC(G116*(1+HLOOKUP(H116,$F$6:$I$7,2,FALSE)),2)</f>
        <v>0</v>
      </c>
      <c r="J116" s="222">
        <f t="shared" si="51"/>
        <v>0</v>
      </c>
      <c r="K116" s="86">
        <f t="shared" si="52"/>
        <v>0</v>
      </c>
      <c r="L116" s="223">
        <f t="shared" si="53"/>
        <v>0</v>
      </c>
      <c r="M116" s="102"/>
      <c r="O116" s="244">
        <v>8.26</v>
      </c>
      <c r="P116" s="244">
        <v>207.3</v>
      </c>
      <c r="Q116" s="244">
        <v>19.739999999999981</v>
      </c>
      <c r="R116" s="244">
        <v>227.04</v>
      </c>
    </row>
    <row r="117" spans="1:18" s="238" customFormat="1" ht="51" x14ac:dyDescent="0.2">
      <c r="A117" s="107" t="s">
        <v>331</v>
      </c>
      <c r="B117" s="16" t="s">
        <v>508</v>
      </c>
      <c r="C117" s="17">
        <v>103320</v>
      </c>
      <c r="D117" s="18" t="s">
        <v>122</v>
      </c>
      <c r="E117" s="19" t="s">
        <v>36</v>
      </c>
      <c r="F117" s="20">
        <v>12.67</v>
      </c>
      <c r="G117" s="86"/>
      <c r="H117" s="63" t="s">
        <v>12</v>
      </c>
      <c r="I117" s="169">
        <f t="shared" si="54"/>
        <v>0</v>
      </c>
      <c r="J117" s="222">
        <f t="shared" si="51"/>
        <v>0</v>
      </c>
      <c r="K117" s="86">
        <f t="shared" si="52"/>
        <v>0</v>
      </c>
      <c r="L117" s="223">
        <f t="shared" si="53"/>
        <v>0</v>
      </c>
      <c r="M117" s="102"/>
      <c r="O117" s="244">
        <v>142.5</v>
      </c>
      <c r="P117" s="244">
        <v>1867.3500000000001</v>
      </c>
      <c r="Q117" s="244">
        <v>389.43000000000006</v>
      </c>
      <c r="R117" s="244">
        <v>2256.7800000000002</v>
      </c>
    </row>
    <row r="118" spans="1:18" s="238" customFormat="1" ht="51" x14ac:dyDescent="0.2">
      <c r="A118" s="107" t="s">
        <v>332</v>
      </c>
      <c r="B118" s="16" t="s">
        <v>508</v>
      </c>
      <c r="C118" s="17">
        <v>93205</v>
      </c>
      <c r="D118" s="18" t="s">
        <v>123</v>
      </c>
      <c r="E118" s="19" t="s">
        <v>53</v>
      </c>
      <c r="F118" s="20">
        <v>21.06</v>
      </c>
      <c r="G118" s="86"/>
      <c r="H118" s="63" t="s">
        <v>12</v>
      </c>
      <c r="I118" s="169">
        <f t="shared" si="54"/>
        <v>0</v>
      </c>
      <c r="J118" s="222">
        <f t="shared" si="51"/>
        <v>0</v>
      </c>
      <c r="K118" s="86">
        <f t="shared" si="52"/>
        <v>0</v>
      </c>
      <c r="L118" s="223">
        <f t="shared" si="53"/>
        <v>0</v>
      </c>
      <c r="M118" s="102"/>
      <c r="O118" s="244">
        <v>98.63</v>
      </c>
      <c r="P118" s="244">
        <v>1684.4399999999998</v>
      </c>
      <c r="Q118" s="244">
        <v>911.84000000000037</v>
      </c>
      <c r="R118" s="244">
        <v>2596.2800000000002</v>
      </c>
    </row>
    <row r="119" spans="1:18" s="238" customFormat="1" ht="25.5" x14ac:dyDescent="0.2">
      <c r="A119" s="107" t="s">
        <v>333</v>
      </c>
      <c r="B119" s="16" t="s">
        <v>508</v>
      </c>
      <c r="C119" s="17">
        <v>89996</v>
      </c>
      <c r="D119" s="18" t="s">
        <v>124</v>
      </c>
      <c r="E119" s="19" t="s">
        <v>73</v>
      </c>
      <c r="F119" s="20">
        <v>20.73</v>
      </c>
      <c r="G119" s="86"/>
      <c r="H119" s="63" t="s">
        <v>12</v>
      </c>
      <c r="I119" s="169">
        <f t="shared" si="54"/>
        <v>0</v>
      </c>
      <c r="J119" s="222">
        <f t="shared" si="51"/>
        <v>0</v>
      </c>
      <c r="K119" s="86">
        <f t="shared" si="52"/>
        <v>0</v>
      </c>
      <c r="L119" s="223">
        <f t="shared" si="53"/>
        <v>0</v>
      </c>
      <c r="M119" s="102"/>
      <c r="O119" s="244">
        <v>11.08</v>
      </c>
      <c r="P119" s="244">
        <v>230.40999999999997</v>
      </c>
      <c r="Q119" s="244">
        <v>56.700000000000045</v>
      </c>
      <c r="R119" s="244">
        <v>287.11</v>
      </c>
    </row>
    <row r="120" spans="1:18" s="238" customFormat="1" ht="25.5" x14ac:dyDescent="0.2">
      <c r="A120" s="107" t="s">
        <v>334</v>
      </c>
      <c r="B120" s="16" t="s">
        <v>508</v>
      </c>
      <c r="C120" s="17">
        <v>89993</v>
      </c>
      <c r="D120" s="18" t="s">
        <v>125</v>
      </c>
      <c r="E120" s="19" t="s">
        <v>57</v>
      </c>
      <c r="F120" s="20">
        <v>2.5299999999999998</v>
      </c>
      <c r="G120" s="86"/>
      <c r="H120" s="63" t="s">
        <v>12</v>
      </c>
      <c r="I120" s="169">
        <f t="shared" si="54"/>
        <v>0</v>
      </c>
      <c r="J120" s="222">
        <f t="shared" si="51"/>
        <v>0</v>
      </c>
      <c r="K120" s="86">
        <f t="shared" si="52"/>
        <v>0</v>
      </c>
      <c r="L120" s="223">
        <f t="shared" si="53"/>
        <v>0</v>
      </c>
      <c r="M120" s="102"/>
      <c r="O120" s="244">
        <v>1206.8</v>
      </c>
      <c r="P120" s="244">
        <v>3190.67</v>
      </c>
      <c r="Q120" s="244">
        <v>625.84000000000015</v>
      </c>
      <c r="R120" s="244">
        <v>3816.51</v>
      </c>
    </row>
    <row r="121" spans="1:18" s="238" customFormat="1" ht="25.5" x14ac:dyDescent="0.2">
      <c r="A121" s="107" t="s">
        <v>335</v>
      </c>
      <c r="B121" s="16" t="s">
        <v>509</v>
      </c>
      <c r="C121" s="17" t="s">
        <v>116</v>
      </c>
      <c r="D121" s="18" t="s">
        <v>156</v>
      </c>
      <c r="E121" s="19" t="s">
        <v>57</v>
      </c>
      <c r="F121" s="20">
        <v>0.65</v>
      </c>
      <c r="G121" s="86"/>
      <c r="H121" s="63" t="s">
        <v>12</v>
      </c>
      <c r="I121" s="169">
        <f t="shared" si="54"/>
        <v>0</v>
      </c>
      <c r="J121" s="222">
        <f t="shared" si="51"/>
        <v>0</v>
      </c>
      <c r="K121" s="86">
        <f t="shared" si="52"/>
        <v>0</v>
      </c>
      <c r="L121" s="223">
        <f t="shared" si="53"/>
        <v>0</v>
      </c>
      <c r="M121" s="102"/>
      <c r="O121" s="244">
        <v>228.38</v>
      </c>
      <c r="P121" s="244">
        <v>162</v>
      </c>
      <c r="Q121" s="244">
        <v>23.560000000000002</v>
      </c>
      <c r="R121" s="244">
        <v>185.56</v>
      </c>
    </row>
    <row r="122" spans="1:18" s="238" customFormat="1" ht="25.5" x14ac:dyDescent="0.2">
      <c r="A122" s="107" t="s">
        <v>336</v>
      </c>
      <c r="B122" s="16" t="s">
        <v>510</v>
      </c>
      <c r="C122" s="17">
        <v>70110161</v>
      </c>
      <c r="D122" s="18" t="s">
        <v>157</v>
      </c>
      <c r="E122" s="19" t="s">
        <v>53</v>
      </c>
      <c r="F122" s="20">
        <v>2.5</v>
      </c>
      <c r="G122" s="86"/>
      <c r="H122" s="63" t="s">
        <v>12</v>
      </c>
      <c r="I122" s="169">
        <f t="shared" si="54"/>
        <v>0</v>
      </c>
      <c r="J122" s="222">
        <f t="shared" si="51"/>
        <v>0</v>
      </c>
      <c r="K122" s="86">
        <f t="shared" si="52"/>
        <v>0</v>
      </c>
      <c r="L122" s="223">
        <f t="shared" si="53"/>
        <v>0</v>
      </c>
      <c r="M122" s="102"/>
      <c r="O122" s="244">
        <v>1319.24</v>
      </c>
      <c r="P122" s="244">
        <v>4079.29</v>
      </c>
      <c r="Q122" s="244">
        <v>43.340000000000146</v>
      </c>
      <c r="R122" s="244">
        <v>4122.63</v>
      </c>
    </row>
    <row r="123" spans="1:18" s="238" customFormat="1" ht="51" x14ac:dyDescent="0.2">
      <c r="A123" s="107" t="s">
        <v>337</v>
      </c>
      <c r="B123" s="16" t="s">
        <v>510</v>
      </c>
      <c r="C123" s="101">
        <v>70110090</v>
      </c>
      <c r="D123" s="104" t="s">
        <v>154</v>
      </c>
      <c r="E123" s="105" t="s">
        <v>36</v>
      </c>
      <c r="F123" s="21">
        <v>2.16</v>
      </c>
      <c r="G123" s="86"/>
      <c r="H123" s="63" t="s">
        <v>12</v>
      </c>
      <c r="I123" s="170">
        <f>TRUNC(G123*(1+HLOOKUP(H123,$F$6:$I$7,2,FALSE)),2)</f>
        <v>0</v>
      </c>
      <c r="J123" s="222">
        <f t="shared" si="51"/>
        <v>0</v>
      </c>
      <c r="K123" s="86">
        <f t="shared" si="52"/>
        <v>0</v>
      </c>
      <c r="L123" s="223">
        <f t="shared" si="53"/>
        <v>0</v>
      </c>
      <c r="M123" s="174"/>
      <c r="O123" s="244">
        <v>1623.9</v>
      </c>
      <c r="P123" s="244">
        <v>4290.91</v>
      </c>
      <c r="Q123" s="244">
        <v>93.610000000000582</v>
      </c>
      <c r="R123" s="244">
        <v>4384.5200000000004</v>
      </c>
    </row>
    <row r="124" spans="1:18" s="239" customFormat="1" ht="30" customHeight="1" x14ac:dyDescent="0.2">
      <c r="A124" s="159">
        <v>15</v>
      </c>
      <c r="B124" s="160"/>
      <c r="C124" s="161"/>
      <c r="D124" s="186" t="s">
        <v>338</v>
      </c>
      <c r="E124" s="246"/>
      <c r="F124" s="247"/>
      <c r="G124" s="247"/>
      <c r="H124" s="247"/>
      <c r="I124" s="247"/>
      <c r="J124" s="178">
        <f>SUM(J125:J125)</f>
        <v>0</v>
      </c>
      <c r="K124" s="163">
        <f>SUM(K125:K125)</f>
        <v>0</v>
      </c>
      <c r="L124" s="179">
        <f>SUM(L125:L125)</f>
        <v>0</v>
      </c>
      <c r="M124" s="164" t="e">
        <f>L124/$L$207</f>
        <v>#DIV/0!</v>
      </c>
      <c r="O124" s="244"/>
      <c r="P124" s="244">
        <v>1961.0099999999998</v>
      </c>
      <c r="Q124" s="244">
        <v>313.79000000000042</v>
      </c>
      <c r="R124" s="244">
        <v>2274.8000000000002</v>
      </c>
    </row>
    <row r="125" spans="1:18" s="238" customFormat="1" ht="89.25" x14ac:dyDescent="0.2">
      <c r="A125" s="187" t="s">
        <v>339</v>
      </c>
      <c r="B125" s="74" t="s">
        <v>508</v>
      </c>
      <c r="C125" s="75">
        <v>93368</v>
      </c>
      <c r="D125" s="76" t="s">
        <v>145</v>
      </c>
      <c r="E125" s="77" t="s">
        <v>57</v>
      </c>
      <c r="F125" s="78">
        <v>74.34</v>
      </c>
      <c r="G125" s="86"/>
      <c r="H125" s="79" t="s">
        <v>12</v>
      </c>
      <c r="I125" s="171">
        <f>TRUNC(G125*(1+HLOOKUP(H125,$F$6:$I$7,2,FALSE)),2)</f>
        <v>0</v>
      </c>
      <c r="J125" s="222">
        <f>IF(G125="",0,IF($L$7=0,P125,ROUND($R$7*L125,2)))</f>
        <v>0</v>
      </c>
      <c r="K125" s="86">
        <f t="shared" ref="K125" si="55">L125-J125</f>
        <v>0</v>
      </c>
      <c r="L125" s="223">
        <f t="shared" ref="L125" si="56">ROUND(F125*I125,2)</f>
        <v>0</v>
      </c>
      <c r="M125" s="175"/>
      <c r="O125" s="244">
        <v>24.48</v>
      </c>
      <c r="P125" s="244">
        <v>1961.0099999999998</v>
      </c>
      <c r="Q125" s="244">
        <v>313.79000000000042</v>
      </c>
      <c r="R125" s="244">
        <v>2274.8000000000002</v>
      </c>
    </row>
    <row r="126" spans="1:18" s="239" customFormat="1" ht="30" customHeight="1" x14ac:dyDescent="0.2">
      <c r="A126" s="159">
        <v>16</v>
      </c>
      <c r="B126" s="160"/>
      <c r="C126" s="161"/>
      <c r="D126" s="162" t="s">
        <v>159</v>
      </c>
      <c r="E126" s="246"/>
      <c r="F126" s="247"/>
      <c r="G126" s="247"/>
      <c r="H126" s="247"/>
      <c r="I126" s="247"/>
      <c r="J126" s="178">
        <f>SUM(J127:J144)</f>
        <v>0</v>
      </c>
      <c r="K126" s="163">
        <f>SUM(K127:K144)</f>
        <v>0</v>
      </c>
      <c r="L126" s="179">
        <f>SUM(L127:L144)</f>
        <v>0</v>
      </c>
      <c r="M126" s="164" t="e">
        <f>L126/$L$207</f>
        <v>#DIV/0!</v>
      </c>
      <c r="O126" s="244"/>
      <c r="P126" s="244">
        <v>104789.18000000001</v>
      </c>
      <c r="Q126" s="244">
        <v>19318.450000000004</v>
      </c>
      <c r="R126" s="244">
        <v>124107.63</v>
      </c>
    </row>
    <row r="127" spans="1:18" s="238" customFormat="1" ht="25.5" x14ac:dyDescent="0.2">
      <c r="A127" s="25" t="s">
        <v>340</v>
      </c>
      <c r="B127" s="16" t="s">
        <v>510</v>
      </c>
      <c r="C127" s="17">
        <v>70140023</v>
      </c>
      <c r="D127" s="18" t="s">
        <v>161</v>
      </c>
      <c r="E127" s="19" t="s">
        <v>73</v>
      </c>
      <c r="F127" s="20">
        <v>1317.9</v>
      </c>
      <c r="G127" s="86"/>
      <c r="H127" s="63" t="s">
        <v>12</v>
      </c>
      <c r="I127" s="169">
        <f t="shared" ref="I127:I141" si="57">TRUNC(G127*(1+HLOOKUP(H127,$F$6:$I$7,2,FALSE)),2)</f>
        <v>0</v>
      </c>
      <c r="J127" s="222">
        <f t="shared" ref="J127:J144" si="58">IF(G127="",0,IF($L$7=0,P127,ROUND($R$7*L127,2)))</f>
        <v>0</v>
      </c>
      <c r="K127" s="86">
        <f t="shared" ref="K127:K144" si="59">L127-J127</f>
        <v>0</v>
      </c>
      <c r="L127" s="223">
        <f t="shared" ref="L127:L144" si="60">ROUND(F127*I127,2)</f>
        <v>0</v>
      </c>
      <c r="M127" s="102"/>
      <c r="O127" s="244">
        <v>2.42</v>
      </c>
      <c r="P127" s="244">
        <v>3582.05</v>
      </c>
      <c r="Q127" s="244">
        <v>398.00999999999976</v>
      </c>
      <c r="R127" s="244">
        <v>3980.06</v>
      </c>
    </row>
    <row r="128" spans="1:18" s="238" customFormat="1" ht="51" x14ac:dyDescent="0.2">
      <c r="A128" s="25" t="s">
        <v>341</v>
      </c>
      <c r="B128" s="16" t="s">
        <v>510</v>
      </c>
      <c r="C128" s="17" t="s">
        <v>162</v>
      </c>
      <c r="D128" s="18" t="s">
        <v>163</v>
      </c>
      <c r="E128" s="19" t="s">
        <v>68</v>
      </c>
      <c r="F128" s="20">
        <v>2</v>
      </c>
      <c r="G128" s="86"/>
      <c r="H128" s="63" t="s">
        <v>13</v>
      </c>
      <c r="I128" s="169">
        <f t="shared" si="57"/>
        <v>0</v>
      </c>
      <c r="J128" s="222">
        <f t="shared" si="58"/>
        <v>0</v>
      </c>
      <c r="K128" s="86">
        <f t="shared" si="59"/>
        <v>0</v>
      </c>
      <c r="L128" s="223">
        <f t="shared" si="60"/>
        <v>0</v>
      </c>
      <c r="M128" s="102"/>
      <c r="O128" s="244">
        <v>3839.52</v>
      </c>
      <c r="P128" s="244">
        <v>7934.23</v>
      </c>
      <c r="Q128" s="244">
        <v>821.40999999999985</v>
      </c>
      <c r="R128" s="244">
        <v>8755.64</v>
      </c>
    </row>
    <row r="129" spans="1:18" s="238" customFormat="1" ht="51" x14ac:dyDescent="0.2">
      <c r="A129" s="25" t="s">
        <v>342</v>
      </c>
      <c r="B129" s="16" t="s">
        <v>510</v>
      </c>
      <c r="C129" s="17" t="s">
        <v>164</v>
      </c>
      <c r="D129" s="18" t="s">
        <v>165</v>
      </c>
      <c r="E129" s="19" t="s">
        <v>68</v>
      </c>
      <c r="F129" s="20">
        <v>1</v>
      </c>
      <c r="G129" s="86"/>
      <c r="H129" s="63" t="s">
        <v>13</v>
      </c>
      <c r="I129" s="169">
        <f t="shared" si="57"/>
        <v>0</v>
      </c>
      <c r="J129" s="222">
        <f t="shared" si="58"/>
        <v>0</v>
      </c>
      <c r="K129" s="86">
        <f t="shared" si="59"/>
        <v>0</v>
      </c>
      <c r="L129" s="223">
        <f t="shared" si="60"/>
        <v>0</v>
      </c>
      <c r="M129" s="102"/>
      <c r="O129" s="244">
        <v>2798.08</v>
      </c>
      <c r="P129" s="244">
        <v>2871.33</v>
      </c>
      <c r="Q129" s="244">
        <v>319.03999999999996</v>
      </c>
      <c r="R129" s="244">
        <v>3190.37</v>
      </c>
    </row>
    <row r="130" spans="1:18" s="238" customFormat="1" ht="51" x14ac:dyDescent="0.2">
      <c r="A130" s="25" t="s">
        <v>343</v>
      </c>
      <c r="B130" s="16" t="s">
        <v>510</v>
      </c>
      <c r="C130" s="17" t="s">
        <v>166</v>
      </c>
      <c r="D130" s="18" t="s">
        <v>167</v>
      </c>
      <c r="E130" s="19" t="s">
        <v>68</v>
      </c>
      <c r="F130" s="20">
        <v>2</v>
      </c>
      <c r="G130" s="86"/>
      <c r="H130" s="63" t="s">
        <v>13</v>
      </c>
      <c r="I130" s="169">
        <f t="shared" si="57"/>
        <v>0</v>
      </c>
      <c r="J130" s="222">
        <f t="shared" si="58"/>
        <v>0</v>
      </c>
      <c r="K130" s="86">
        <f t="shared" si="59"/>
        <v>0</v>
      </c>
      <c r="L130" s="223">
        <f t="shared" si="60"/>
        <v>0</v>
      </c>
      <c r="M130" s="102"/>
      <c r="O130" s="244">
        <v>6257.75</v>
      </c>
      <c r="P130" s="244">
        <v>12843.14</v>
      </c>
      <c r="Q130" s="244">
        <v>1427.0200000000004</v>
      </c>
      <c r="R130" s="244">
        <v>14270.16</v>
      </c>
    </row>
    <row r="131" spans="1:18" s="238" customFormat="1" ht="51" x14ac:dyDescent="0.2">
      <c r="A131" s="25" t="s">
        <v>344</v>
      </c>
      <c r="B131" s="16" t="s">
        <v>510</v>
      </c>
      <c r="C131" s="17" t="s">
        <v>168</v>
      </c>
      <c r="D131" s="18" t="s">
        <v>169</v>
      </c>
      <c r="E131" s="19" t="s">
        <v>68</v>
      </c>
      <c r="F131" s="20">
        <v>1</v>
      </c>
      <c r="G131" s="86"/>
      <c r="H131" s="63" t="s">
        <v>13</v>
      </c>
      <c r="I131" s="169">
        <f t="shared" si="57"/>
        <v>0</v>
      </c>
      <c r="J131" s="222">
        <f t="shared" si="58"/>
        <v>0</v>
      </c>
      <c r="K131" s="86">
        <f t="shared" si="59"/>
        <v>0</v>
      </c>
      <c r="L131" s="223">
        <f t="shared" si="60"/>
        <v>0</v>
      </c>
      <c r="M131" s="102"/>
      <c r="O131" s="244">
        <v>5203.1000000000004</v>
      </c>
      <c r="P131" s="244">
        <v>4528.3900000000003</v>
      </c>
      <c r="Q131" s="244">
        <v>1404.1799999999994</v>
      </c>
      <c r="R131" s="244">
        <v>5932.57</v>
      </c>
    </row>
    <row r="132" spans="1:18" s="238" customFormat="1" ht="51" x14ac:dyDescent="0.2">
      <c r="A132" s="25" t="s">
        <v>345</v>
      </c>
      <c r="B132" s="16" t="s">
        <v>510</v>
      </c>
      <c r="C132" s="17" t="s">
        <v>170</v>
      </c>
      <c r="D132" s="18" t="s">
        <v>171</v>
      </c>
      <c r="E132" s="19" t="s">
        <v>68</v>
      </c>
      <c r="F132" s="20">
        <v>1</v>
      </c>
      <c r="G132" s="86"/>
      <c r="H132" s="63" t="s">
        <v>13</v>
      </c>
      <c r="I132" s="169">
        <f t="shared" si="57"/>
        <v>0</v>
      </c>
      <c r="J132" s="222">
        <f t="shared" si="58"/>
        <v>0</v>
      </c>
      <c r="K132" s="86">
        <f t="shared" si="59"/>
        <v>0</v>
      </c>
      <c r="L132" s="223">
        <f t="shared" si="60"/>
        <v>0</v>
      </c>
      <c r="M132" s="102"/>
      <c r="O132" s="244">
        <v>2337.38</v>
      </c>
      <c r="P132" s="244">
        <v>2197.4499999999998</v>
      </c>
      <c r="Q132" s="244">
        <v>467.63000000000011</v>
      </c>
      <c r="R132" s="244">
        <v>2665.08</v>
      </c>
    </row>
    <row r="133" spans="1:18" s="238" customFormat="1" ht="38.25" x14ac:dyDescent="0.2">
      <c r="A133" s="25" t="s">
        <v>346</v>
      </c>
      <c r="B133" s="16" t="s">
        <v>510</v>
      </c>
      <c r="C133" s="17" t="s">
        <v>172</v>
      </c>
      <c r="D133" s="18" t="s">
        <v>173</v>
      </c>
      <c r="E133" s="19" t="s">
        <v>68</v>
      </c>
      <c r="F133" s="20">
        <v>2</v>
      </c>
      <c r="G133" s="86"/>
      <c r="H133" s="63" t="s">
        <v>13</v>
      </c>
      <c r="I133" s="169">
        <f t="shared" si="57"/>
        <v>0</v>
      </c>
      <c r="J133" s="222">
        <f t="shared" si="58"/>
        <v>0</v>
      </c>
      <c r="K133" s="86">
        <f t="shared" si="59"/>
        <v>0</v>
      </c>
      <c r="L133" s="223">
        <f t="shared" si="60"/>
        <v>0</v>
      </c>
      <c r="M133" s="102"/>
      <c r="O133" s="244">
        <v>5176.71</v>
      </c>
      <c r="P133" s="244">
        <v>8950.14</v>
      </c>
      <c r="Q133" s="244">
        <v>2854.8199999999997</v>
      </c>
      <c r="R133" s="244">
        <v>11804.96</v>
      </c>
    </row>
    <row r="134" spans="1:18" s="238" customFormat="1" ht="51" x14ac:dyDescent="0.2">
      <c r="A134" s="25" t="s">
        <v>347</v>
      </c>
      <c r="B134" s="16" t="s">
        <v>510</v>
      </c>
      <c r="C134" s="17" t="s">
        <v>174</v>
      </c>
      <c r="D134" s="18" t="s">
        <v>175</v>
      </c>
      <c r="E134" s="19" t="s">
        <v>68</v>
      </c>
      <c r="F134" s="20">
        <v>1</v>
      </c>
      <c r="G134" s="86"/>
      <c r="H134" s="63" t="s">
        <v>13</v>
      </c>
      <c r="I134" s="169">
        <f t="shared" si="57"/>
        <v>0</v>
      </c>
      <c r="J134" s="222">
        <f t="shared" si="58"/>
        <v>0</v>
      </c>
      <c r="K134" s="86">
        <f t="shared" si="59"/>
        <v>0</v>
      </c>
      <c r="L134" s="223">
        <f t="shared" si="60"/>
        <v>0</v>
      </c>
      <c r="M134" s="102"/>
      <c r="O134" s="244">
        <v>5659.07</v>
      </c>
      <c r="P134" s="244">
        <v>5011.0200000000004</v>
      </c>
      <c r="Q134" s="244">
        <v>1441.4499999999998</v>
      </c>
      <c r="R134" s="244">
        <v>6452.47</v>
      </c>
    </row>
    <row r="135" spans="1:18" s="238" customFormat="1" ht="51" x14ac:dyDescent="0.2">
      <c r="A135" s="25" t="s">
        <v>348</v>
      </c>
      <c r="B135" s="16" t="s">
        <v>510</v>
      </c>
      <c r="C135" s="17" t="s">
        <v>176</v>
      </c>
      <c r="D135" s="18" t="s">
        <v>177</v>
      </c>
      <c r="E135" s="19" t="s">
        <v>68</v>
      </c>
      <c r="F135" s="20">
        <v>2</v>
      </c>
      <c r="G135" s="86"/>
      <c r="H135" s="63" t="s">
        <v>13</v>
      </c>
      <c r="I135" s="169">
        <f t="shared" si="57"/>
        <v>0</v>
      </c>
      <c r="J135" s="222">
        <f t="shared" si="58"/>
        <v>0</v>
      </c>
      <c r="K135" s="86">
        <f t="shared" si="59"/>
        <v>0</v>
      </c>
      <c r="L135" s="223">
        <f t="shared" si="60"/>
        <v>0</v>
      </c>
      <c r="M135" s="102"/>
      <c r="O135" s="244">
        <v>4574.38</v>
      </c>
      <c r="P135" s="244">
        <v>8167.35</v>
      </c>
      <c r="Q135" s="244">
        <v>2264.0499999999993</v>
      </c>
      <c r="R135" s="244">
        <v>10431.4</v>
      </c>
    </row>
    <row r="136" spans="1:18" s="238" customFormat="1" ht="51" x14ac:dyDescent="0.2">
      <c r="A136" s="25" t="s">
        <v>349</v>
      </c>
      <c r="B136" s="16" t="s">
        <v>510</v>
      </c>
      <c r="C136" s="17" t="s">
        <v>174</v>
      </c>
      <c r="D136" s="18" t="s">
        <v>178</v>
      </c>
      <c r="E136" s="19" t="s">
        <v>68</v>
      </c>
      <c r="F136" s="20">
        <v>2</v>
      </c>
      <c r="G136" s="86"/>
      <c r="H136" s="63" t="s">
        <v>13</v>
      </c>
      <c r="I136" s="169">
        <f t="shared" si="57"/>
        <v>0</v>
      </c>
      <c r="J136" s="222">
        <f t="shared" si="58"/>
        <v>0</v>
      </c>
      <c r="K136" s="86">
        <f t="shared" si="59"/>
        <v>0</v>
      </c>
      <c r="L136" s="223">
        <f t="shared" si="60"/>
        <v>0</v>
      </c>
      <c r="M136" s="102"/>
      <c r="O136" s="244">
        <v>5659.07</v>
      </c>
      <c r="P136" s="244">
        <v>10022.040000000001</v>
      </c>
      <c r="Q136" s="244">
        <v>2882.8999999999996</v>
      </c>
      <c r="R136" s="244">
        <v>12904.94</v>
      </c>
    </row>
    <row r="137" spans="1:18" s="238" customFormat="1" ht="38.25" x14ac:dyDescent="0.2">
      <c r="A137" s="25" t="s">
        <v>350</v>
      </c>
      <c r="B137" s="16" t="s">
        <v>510</v>
      </c>
      <c r="C137" s="17" t="s">
        <v>179</v>
      </c>
      <c r="D137" s="18" t="s">
        <v>180</v>
      </c>
      <c r="E137" s="19" t="s">
        <v>68</v>
      </c>
      <c r="F137" s="20">
        <v>14</v>
      </c>
      <c r="G137" s="86"/>
      <c r="H137" s="63" t="s">
        <v>13</v>
      </c>
      <c r="I137" s="169">
        <f t="shared" si="57"/>
        <v>0</v>
      </c>
      <c r="J137" s="222">
        <f t="shared" si="58"/>
        <v>0</v>
      </c>
      <c r="K137" s="86">
        <f t="shared" si="59"/>
        <v>0</v>
      </c>
      <c r="L137" s="223">
        <f t="shared" si="60"/>
        <v>0</v>
      </c>
      <c r="M137" s="102"/>
      <c r="O137" s="244">
        <v>1581.6</v>
      </c>
      <c r="P137" s="244">
        <v>22722.079999999998</v>
      </c>
      <c r="Q137" s="244">
        <v>2524.6800000000003</v>
      </c>
      <c r="R137" s="244">
        <v>25246.76</v>
      </c>
    </row>
    <row r="138" spans="1:18" s="238" customFormat="1" ht="38.25" x14ac:dyDescent="0.2">
      <c r="A138" s="25" t="s">
        <v>351</v>
      </c>
      <c r="B138" s="16" t="s">
        <v>510</v>
      </c>
      <c r="C138" s="17" t="s">
        <v>181</v>
      </c>
      <c r="D138" s="18" t="s">
        <v>182</v>
      </c>
      <c r="E138" s="19" t="s">
        <v>68</v>
      </c>
      <c r="F138" s="20">
        <v>14</v>
      </c>
      <c r="G138" s="86"/>
      <c r="H138" s="63" t="s">
        <v>13</v>
      </c>
      <c r="I138" s="169">
        <f t="shared" si="57"/>
        <v>0</v>
      </c>
      <c r="J138" s="222">
        <f t="shared" si="58"/>
        <v>0</v>
      </c>
      <c r="K138" s="86">
        <f t="shared" si="59"/>
        <v>0</v>
      </c>
      <c r="L138" s="223">
        <f t="shared" si="60"/>
        <v>0</v>
      </c>
      <c r="M138" s="102"/>
      <c r="O138" s="244">
        <v>54.06</v>
      </c>
      <c r="P138" s="244">
        <v>674.85</v>
      </c>
      <c r="Q138" s="244">
        <v>187.97000000000003</v>
      </c>
      <c r="R138" s="244">
        <v>862.82</v>
      </c>
    </row>
    <row r="139" spans="1:18" s="238" customFormat="1" ht="38.25" x14ac:dyDescent="0.2">
      <c r="A139" s="25" t="s">
        <v>352</v>
      </c>
      <c r="B139" s="16" t="s">
        <v>510</v>
      </c>
      <c r="C139" s="17" t="s">
        <v>183</v>
      </c>
      <c r="D139" s="18" t="s">
        <v>184</v>
      </c>
      <c r="E139" s="19" t="s">
        <v>68</v>
      </c>
      <c r="F139" s="20">
        <v>4</v>
      </c>
      <c r="G139" s="86"/>
      <c r="H139" s="63" t="s">
        <v>13</v>
      </c>
      <c r="I139" s="169">
        <f t="shared" si="57"/>
        <v>0</v>
      </c>
      <c r="J139" s="222">
        <f t="shared" si="58"/>
        <v>0</v>
      </c>
      <c r="K139" s="86">
        <f t="shared" si="59"/>
        <v>0</v>
      </c>
      <c r="L139" s="223">
        <f t="shared" si="60"/>
        <v>0</v>
      </c>
      <c r="M139" s="102"/>
      <c r="O139" s="244">
        <v>1581.6</v>
      </c>
      <c r="P139" s="244">
        <v>6492.0199999999995</v>
      </c>
      <c r="Q139" s="244">
        <v>721.34000000000015</v>
      </c>
      <c r="R139" s="244">
        <v>7213.36</v>
      </c>
    </row>
    <row r="140" spans="1:18" s="238" customFormat="1" ht="38.25" x14ac:dyDescent="0.2">
      <c r="A140" s="25" t="s">
        <v>353</v>
      </c>
      <c r="B140" s="16" t="s">
        <v>510</v>
      </c>
      <c r="C140" s="17" t="s">
        <v>185</v>
      </c>
      <c r="D140" s="18" t="s">
        <v>186</v>
      </c>
      <c r="E140" s="19" t="s">
        <v>68</v>
      </c>
      <c r="F140" s="20">
        <v>4</v>
      </c>
      <c r="G140" s="86"/>
      <c r="H140" s="63" t="s">
        <v>13</v>
      </c>
      <c r="I140" s="169">
        <f t="shared" si="57"/>
        <v>0</v>
      </c>
      <c r="J140" s="222">
        <f t="shared" si="58"/>
        <v>0</v>
      </c>
      <c r="K140" s="86">
        <f t="shared" si="59"/>
        <v>0</v>
      </c>
      <c r="L140" s="223">
        <f t="shared" si="60"/>
        <v>0</v>
      </c>
      <c r="M140" s="102"/>
      <c r="O140" s="244">
        <v>41.27</v>
      </c>
      <c r="P140" s="244">
        <v>177.86999999999998</v>
      </c>
      <c r="Q140" s="244">
        <v>10.330000000000013</v>
      </c>
      <c r="R140" s="244">
        <v>188.2</v>
      </c>
    </row>
    <row r="141" spans="1:18" s="238" customFormat="1" ht="51" x14ac:dyDescent="0.2">
      <c r="A141" s="25" t="s">
        <v>354</v>
      </c>
      <c r="B141" s="16" t="s">
        <v>510</v>
      </c>
      <c r="C141" s="17" t="s">
        <v>187</v>
      </c>
      <c r="D141" s="18" t="s">
        <v>188</v>
      </c>
      <c r="E141" s="19" t="s">
        <v>68</v>
      </c>
      <c r="F141" s="20">
        <v>1</v>
      </c>
      <c r="G141" s="86"/>
      <c r="H141" s="63" t="s">
        <v>13</v>
      </c>
      <c r="I141" s="169">
        <f t="shared" si="57"/>
        <v>0</v>
      </c>
      <c r="J141" s="222">
        <f t="shared" si="58"/>
        <v>0</v>
      </c>
      <c r="K141" s="86">
        <f t="shared" si="59"/>
        <v>0</v>
      </c>
      <c r="L141" s="223">
        <f t="shared" si="60"/>
        <v>0</v>
      </c>
      <c r="M141" s="102"/>
      <c r="O141" s="244">
        <v>2021.31</v>
      </c>
      <c r="P141" s="244">
        <v>2074.2200000000003</v>
      </c>
      <c r="Q141" s="244">
        <v>230.4699999999998</v>
      </c>
      <c r="R141" s="244">
        <v>2304.69</v>
      </c>
    </row>
    <row r="142" spans="1:18" s="238" customFormat="1" ht="25.5" x14ac:dyDescent="0.2">
      <c r="A142" s="25" t="s">
        <v>355</v>
      </c>
      <c r="B142" s="16" t="s">
        <v>509</v>
      </c>
      <c r="C142" s="17" t="s">
        <v>190</v>
      </c>
      <c r="D142" s="18" t="str">
        <f>UPPER("Tubo de PVC rígido DEFoFo, DN= 300mm (DE= 326mm), inclusive conexões")</f>
        <v>TUBO DE PVC RÍGIDO DEFOFO, DN= 300MM (DE= 326MM), INCLUSIVE CONEXÕES</v>
      </c>
      <c r="E142" s="19" t="s">
        <v>53</v>
      </c>
      <c r="F142" s="20">
        <v>9</v>
      </c>
      <c r="G142" s="86"/>
      <c r="H142" s="63" t="s">
        <v>12</v>
      </c>
      <c r="I142" s="169">
        <f>TRUNC(G142*(1+HLOOKUP(H142,$F$6:$I$7,2,FALSE)),2)</f>
        <v>0</v>
      </c>
      <c r="J142" s="222">
        <f t="shared" si="58"/>
        <v>0</v>
      </c>
      <c r="K142" s="86">
        <f t="shared" si="59"/>
        <v>0</v>
      </c>
      <c r="L142" s="223">
        <f t="shared" si="60"/>
        <v>0</v>
      </c>
      <c r="M142" s="102"/>
      <c r="O142" s="244">
        <v>588.95000000000005</v>
      </c>
      <c r="P142" s="244">
        <v>5449.76</v>
      </c>
      <c r="Q142" s="244">
        <v>1175.8599999999997</v>
      </c>
      <c r="R142" s="244">
        <v>6625.62</v>
      </c>
    </row>
    <row r="143" spans="1:18" s="238" customFormat="1" ht="25.5" x14ac:dyDescent="0.2">
      <c r="A143" s="25" t="s">
        <v>356</v>
      </c>
      <c r="B143" s="16" t="s">
        <v>509</v>
      </c>
      <c r="C143" s="17" t="s">
        <v>202</v>
      </c>
      <c r="D143" s="18" t="str">
        <f>UPPER("Tubo de PVC rígido soldável marrom, DN= 25 mm, (3/4´), inclusive conexões")</f>
        <v>TUBO DE PVC RÍGIDO SOLDÁVEL MARROM, DN= 25 MM, (3/4´), INCLUSIVE CONEXÕES</v>
      </c>
      <c r="E143" s="19" t="s">
        <v>53</v>
      </c>
      <c r="F143" s="20">
        <v>24.65</v>
      </c>
      <c r="G143" s="86"/>
      <c r="H143" s="63" t="s">
        <v>12</v>
      </c>
      <c r="I143" s="169">
        <f>TRUNC(G143*(1+HLOOKUP(H143,$F$6:$I$7,2,FALSE)),2)</f>
        <v>0</v>
      </c>
      <c r="J143" s="222">
        <f t="shared" si="58"/>
        <v>0</v>
      </c>
      <c r="K143" s="86">
        <f t="shared" si="59"/>
        <v>0</v>
      </c>
      <c r="L143" s="223">
        <f t="shared" si="60"/>
        <v>0</v>
      </c>
      <c r="M143" s="102"/>
      <c r="O143" s="244">
        <v>35.81</v>
      </c>
      <c r="P143" s="244">
        <v>943.51999999999987</v>
      </c>
      <c r="Q143" s="244">
        <v>159.81000000000006</v>
      </c>
      <c r="R143" s="244">
        <v>1103.33</v>
      </c>
    </row>
    <row r="144" spans="1:18" s="238" customFormat="1" ht="25.5" x14ac:dyDescent="0.2">
      <c r="A144" s="25" t="s">
        <v>357</v>
      </c>
      <c r="B144" s="16" t="s">
        <v>509</v>
      </c>
      <c r="C144" s="17" t="s">
        <v>203</v>
      </c>
      <c r="D144" s="18" t="str">
        <f>UPPER("Torneira curta com rosca para uso geral, em latão fundido sem acabamento, DN= 3/4´´")</f>
        <v>TORNEIRA CURTA COM ROSCA PARA USO GERAL, EM LATÃO FUNDIDO SEM ACABAMENTO, DN= 3/4´´</v>
      </c>
      <c r="E144" s="19" t="s">
        <v>68</v>
      </c>
      <c r="F144" s="20">
        <v>2</v>
      </c>
      <c r="G144" s="86"/>
      <c r="H144" s="63" t="s">
        <v>12</v>
      </c>
      <c r="I144" s="169">
        <f>TRUNC(G144*(1+HLOOKUP(H144,$F$6:$I$7,2,FALSE)),2)</f>
        <v>0</v>
      </c>
      <c r="J144" s="222">
        <f t="shared" si="58"/>
        <v>0</v>
      </c>
      <c r="K144" s="86">
        <f t="shared" si="59"/>
        <v>0</v>
      </c>
      <c r="L144" s="223">
        <f t="shared" si="60"/>
        <v>0</v>
      </c>
      <c r="M144" s="102"/>
      <c r="O144" s="244">
        <v>70.08</v>
      </c>
      <c r="P144" s="244">
        <v>147.71999999999997</v>
      </c>
      <c r="Q144" s="244">
        <v>27.480000000000018</v>
      </c>
      <c r="R144" s="244">
        <v>175.2</v>
      </c>
    </row>
    <row r="145" spans="1:18" s="239" customFormat="1" ht="30" customHeight="1" x14ac:dyDescent="0.2">
      <c r="A145" s="159">
        <v>17</v>
      </c>
      <c r="B145" s="160"/>
      <c r="C145" s="161"/>
      <c r="D145" s="162" t="s">
        <v>358</v>
      </c>
      <c r="E145" s="246"/>
      <c r="F145" s="247"/>
      <c r="G145" s="247"/>
      <c r="H145" s="247"/>
      <c r="I145" s="247"/>
      <c r="J145" s="178">
        <f>SUM(J146:J152)</f>
        <v>0</v>
      </c>
      <c r="K145" s="163">
        <f>SUM(K146:K152)</f>
        <v>0</v>
      </c>
      <c r="L145" s="179">
        <f>SUM(L146:L152)</f>
        <v>0</v>
      </c>
      <c r="M145" s="164" t="e">
        <f>L145/$L$207</f>
        <v>#DIV/0!</v>
      </c>
      <c r="O145" s="244"/>
      <c r="P145" s="244">
        <v>3760.7</v>
      </c>
      <c r="Q145" s="244">
        <v>569.54</v>
      </c>
      <c r="R145" s="244">
        <v>4330.24</v>
      </c>
    </row>
    <row r="146" spans="1:18" s="238" customFormat="1" ht="76.5" x14ac:dyDescent="0.2">
      <c r="A146" s="25" t="s">
        <v>359</v>
      </c>
      <c r="B146" s="16" t="s">
        <v>508</v>
      </c>
      <c r="C146" s="17">
        <v>102276</v>
      </c>
      <c r="D146" s="18" t="s">
        <v>60</v>
      </c>
      <c r="E146" s="19" t="s">
        <v>57</v>
      </c>
      <c r="F146" s="20">
        <v>56.7</v>
      </c>
      <c r="G146" s="86"/>
      <c r="H146" s="63" t="s">
        <v>12</v>
      </c>
      <c r="I146" s="169">
        <f>ROUND(G146*(1+HLOOKUP(H146,$F$6:$I$7,2,FALSE)),2)</f>
        <v>0</v>
      </c>
      <c r="J146" s="222">
        <f t="shared" ref="J146:J152" si="61">IF(G146="",0,IF($L$7=0,P146,ROUND($R$7*L146,2)))</f>
        <v>0</v>
      </c>
      <c r="K146" s="86">
        <f t="shared" ref="K146:K152" si="62">L146-J146</f>
        <v>0</v>
      </c>
      <c r="L146" s="223">
        <f t="shared" ref="L146:L152" si="63">ROUND(F146*I146,2)</f>
        <v>0</v>
      </c>
      <c r="M146" s="102"/>
      <c r="O146" s="244">
        <v>12.65</v>
      </c>
      <c r="P146" s="244">
        <v>770.04</v>
      </c>
      <c r="Q146" s="244">
        <v>126.38999999999999</v>
      </c>
      <c r="R146" s="244">
        <v>896.43</v>
      </c>
    </row>
    <row r="147" spans="1:18" s="238" customFormat="1" ht="25.5" x14ac:dyDescent="0.2">
      <c r="A147" s="25" t="s">
        <v>360</v>
      </c>
      <c r="B147" s="16" t="s">
        <v>510</v>
      </c>
      <c r="C147" s="23">
        <v>70180056</v>
      </c>
      <c r="D147" s="18" t="s">
        <v>192</v>
      </c>
      <c r="E147" s="19" t="s">
        <v>53</v>
      </c>
      <c r="F147" s="20">
        <v>22.23</v>
      </c>
      <c r="G147" s="86"/>
      <c r="H147" s="63" t="s">
        <v>13</v>
      </c>
      <c r="I147" s="169">
        <f t="shared" ref="I147:I151" si="64">TRUNC(G147*(1+HLOOKUP(H147,$F$6:$I$7,2,FALSE)),2)</f>
        <v>0</v>
      </c>
      <c r="J147" s="222">
        <f t="shared" si="61"/>
        <v>0</v>
      </c>
      <c r="K147" s="86">
        <f t="shared" si="62"/>
        <v>0</v>
      </c>
      <c r="L147" s="223">
        <f t="shared" si="63"/>
        <v>0</v>
      </c>
      <c r="M147" s="102"/>
      <c r="O147" s="244">
        <v>10.06</v>
      </c>
      <c r="P147" s="244">
        <v>229.48</v>
      </c>
      <c r="Q147" s="244">
        <v>25.5</v>
      </c>
      <c r="R147" s="244">
        <v>254.98</v>
      </c>
    </row>
    <row r="148" spans="1:18" s="238" customFormat="1" ht="51" x14ac:dyDescent="0.2">
      <c r="A148" s="25" t="s">
        <v>361</v>
      </c>
      <c r="B148" s="16" t="s">
        <v>508</v>
      </c>
      <c r="C148" s="17">
        <v>97144</v>
      </c>
      <c r="D148" s="18" t="s">
        <v>193</v>
      </c>
      <c r="E148" s="19" t="s">
        <v>53</v>
      </c>
      <c r="F148" s="20">
        <v>15.36</v>
      </c>
      <c r="G148" s="86"/>
      <c r="H148" s="63" t="s">
        <v>12</v>
      </c>
      <c r="I148" s="169">
        <f t="shared" si="64"/>
        <v>0</v>
      </c>
      <c r="J148" s="222">
        <f t="shared" si="61"/>
        <v>0</v>
      </c>
      <c r="K148" s="86">
        <f t="shared" si="62"/>
        <v>0</v>
      </c>
      <c r="L148" s="223">
        <f t="shared" si="63"/>
        <v>0</v>
      </c>
      <c r="M148" s="102"/>
      <c r="O148" s="244">
        <v>12.19</v>
      </c>
      <c r="P148" s="244">
        <v>204.18</v>
      </c>
      <c r="Q148" s="244">
        <v>29.75</v>
      </c>
      <c r="R148" s="244">
        <v>233.93</v>
      </c>
    </row>
    <row r="149" spans="1:18" s="238" customFormat="1" ht="38.25" x14ac:dyDescent="0.2">
      <c r="A149" s="25" t="s">
        <v>362</v>
      </c>
      <c r="B149" s="16" t="s">
        <v>508</v>
      </c>
      <c r="C149" s="17">
        <v>103092</v>
      </c>
      <c r="D149" s="18" t="s">
        <v>194</v>
      </c>
      <c r="E149" s="19" t="s">
        <v>53</v>
      </c>
      <c r="F149" s="20">
        <v>1.75</v>
      </c>
      <c r="G149" s="86"/>
      <c r="H149" s="63" t="s">
        <v>12</v>
      </c>
      <c r="I149" s="169">
        <f t="shared" si="64"/>
        <v>0</v>
      </c>
      <c r="J149" s="222">
        <f t="shared" si="61"/>
        <v>0</v>
      </c>
      <c r="K149" s="86">
        <f t="shared" si="62"/>
        <v>0</v>
      </c>
      <c r="L149" s="223">
        <f t="shared" si="63"/>
        <v>0</v>
      </c>
      <c r="M149" s="102"/>
      <c r="O149" s="244">
        <v>32.28</v>
      </c>
      <c r="P149" s="244">
        <v>60.95</v>
      </c>
      <c r="Q149" s="244">
        <v>9.6599999999999966</v>
      </c>
      <c r="R149" s="244">
        <v>70.61</v>
      </c>
    </row>
    <row r="150" spans="1:18" s="238" customFormat="1" ht="38.25" x14ac:dyDescent="0.2">
      <c r="A150" s="25" t="s">
        <v>363</v>
      </c>
      <c r="B150" s="16" t="s">
        <v>508</v>
      </c>
      <c r="C150" s="17">
        <v>103124</v>
      </c>
      <c r="D150" s="18" t="s">
        <v>195</v>
      </c>
      <c r="E150" s="19" t="s">
        <v>68</v>
      </c>
      <c r="F150" s="20">
        <v>2</v>
      </c>
      <c r="G150" s="86"/>
      <c r="H150" s="63" t="s">
        <v>12</v>
      </c>
      <c r="I150" s="169">
        <f t="shared" si="64"/>
        <v>0</v>
      </c>
      <c r="J150" s="222">
        <f t="shared" si="61"/>
        <v>0</v>
      </c>
      <c r="K150" s="86">
        <f t="shared" si="62"/>
        <v>0</v>
      </c>
      <c r="L150" s="223">
        <f t="shared" si="63"/>
        <v>0</v>
      </c>
      <c r="M150" s="102"/>
      <c r="O150" s="244">
        <v>188.17</v>
      </c>
      <c r="P150" s="244">
        <v>405.23</v>
      </c>
      <c r="Q150" s="244">
        <v>65.19</v>
      </c>
      <c r="R150" s="244">
        <v>470.42</v>
      </c>
    </row>
    <row r="151" spans="1:18" s="238" customFormat="1" ht="38.25" x14ac:dyDescent="0.2">
      <c r="A151" s="25" t="s">
        <v>364</v>
      </c>
      <c r="B151" s="16" t="s">
        <v>508</v>
      </c>
      <c r="C151" s="17">
        <v>103108</v>
      </c>
      <c r="D151" s="18" t="s">
        <v>196</v>
      </c>
      <c r="E151" s="19" t="s">
        <v>68</v>
      </c>
      <c r="F151" s="20">
        <v>2</v>
      </c>
      <c r="G151" s="86"/>
      <c r="H151" s="63" t="s">
        <v>12</v>
      </c>
      <c r="I151" s="169">
        <f t="shared" si="64"/>
        <v>0</v>
      </c>
      <c r="J151" s="222">
        <f t="shared" si="61"/>
        <v>0</v>
      </c>
      <c r="K151" s="86">
        <f t="shared" si="62"/>
        <v>0</v>
      </c>
      <c r="L151" s="223">
        <f t="shared" si="63"/>
        <v>0</v>
      </c>
      <c r="M151" s="102"/>
      <c r="O151" s="244">
        <v>132.37</v>
      </c>
      <c r="P151" s="244">
        <v>284.88</v>
      </c>
      <c r="Q151" s="244">
        <v>46.04000000000002</v>
      </c>
      <c r="R151" s="244">
        <v>330.92</v>
      </c>
    </row>
    <row r="152" spans="1:18" s="238" customFormat="1" ht="89.25" x14ac:dyDescent="0.2">
      <c r="A152" s="25" t="s">
        <v>365</v>
      </c>
      <c r="B152" s="16" t="s">
        <v>508</v>
      </c>
      <c r="C152" s="17">
        <v>93378</v>
      </c>
      <c r="D152" s="18" t="s">
        <v>65</v>
      </c>
      <c r="E152" s="19" t="s">
        <v>57</v>
      </c>
      <c r="F152" s="20">
        <v>56.7</v>
      </c>
      <c r="G152" s="86"/>
      <c r="H152" s="63" t="s">
        <v>12</v>
      </c>
      <c r="I152" s="169">
        <f>ROUND(G152*(1+HLOOKUP(H152,$F$6:$I$7,2,FALSE)),2)</f>
        <v>0</v>
      </c>
      <c r="J152" s="222">
        <f t="shared" si="61"/>
        <v>0</v>
      </c>
      <c r="K152" s="86">
        <f t="shared" si="62"/>
        <v>0</v>
      </c>
      <c r="L152" s="223">
        <f t="shared" si="63"/>
        <v>0</v>
      </c>
      <c r="M152" s="102"/>
      <c r="O152" s="244">
        <v>29.25</v>
      </c>
      <c r="P152" s="244">
        <v>1805.9399999999998</v>
      </c>
      <c r="Q152" s="244">
        <v>267.01</v>
      </c>
      <c r="R152" s="244">
        <v>2072.9499999999998</v>
      </c>
    </row>
    <row r="153" spans="1:18" s="239" customFormat="1" ht="30" customHeight="1" x14ac:dyDescent="0.2">
      <c r="A153" s="159">
        <v>18</v>
      </c>
      <c r="B153" s="160"/>
      <c r="C153" s="161"/>
      <c r="D153" s="162" t="s">
        <v>366</v>
      </c>
      <c r="E153" s="246"/>
      <c r="F153" s="247"/>
      <c r="G153" s="247"/>
      <c r="H153" s="247"/>
      <c r="I153" s="247"/>
      <c r="J153" s="178">
        <f>SUM(J154:J159)</f>
        <v>0</v>
      </c>
      <c r="K153" s="163">
        <f>SUM(K154:K159)</f>
        <v>0</v>
      </c>
      <c r="L153" s="179">
        <f>SUM(L154:L159)</f>
        <v>0</v>
      </c>
      <c r="M153" s="164" t="e">
        <f>L153/$L$207</f>
        <v>#DIV/0!</v>
      </c>
      <c r="O153" s="244"/>
      <c r="P153" s="244">
        <v>3650.2299999999996</v>
      </c>
      <c r="Q153" s="244">
        <v>773.4799999999999</v>
      </c>
      <c r="R153" s="244">
        <v>4423.71</v>
      </c>
    </row>
    <row r="154" spans="1:18" s="238" customFormat="1" ht="51" x14ac:dyDescent="0.2">
      <c r="A154" s="25" t="s">
        <v>367</v>
      </c>
      <c r="B154" s="16" t="s">
        <v>508</v>
      </c>
      <c r="C154" s="17">
        <v>99260</v>
      </c>
      <c r="D154" s="18" t="s">
        <v>197</v>
      </c>
      <c r="E154" s="19" t="s">
        <v>68</v>
      </c>
      <c r="F154" s="20">
        <v>1</v>
      </c>
      <c r="G154" s="86"/>
      <c r="H154" s="63" t="s">
        <v>12</v>
      </c>
      <c r="I154" s="169">
        <f t="shared" ref="I154:I159" si="65">TRUNC(G154*(1+HLOOKUP(H154,$F$6:$I$7,2,FALSE)),2)</f>
        <v>0</v>
      </c>
      <c r="J154" s="222">
        <f t="shared" ref="J154:J159" si="66">IF(G154="",0,IF($L$7=0,P154,ROUND($R$7*L154,2)))</f>
        <v>0</v>
      </c>
      <c r="K154" s="86">
        <f t="shared" ref="K154:K159" si="67">L154-J154</f>
        <v>0</v>
      </c>
      <c r="L154" s="223">
        <f t="shared" ref="L154:L159" si="68">ROUND(F154*I154,2)</f>
        <v>0</v>
      </c>
      <c r="M154" s="102"/>
      <c r="O154" s="244">
        <v>533.39</v>
      </c>
      <c r="P154" s="244">
        <v>564.58000000000004</v>
      </c>
      <c r="Q154" s="244">
        <v>102.14999999999998</v>
      </c>
      <c r="R154" s="244">
        <v>666.73</v>
      </c>
    </row>
    <row r="155" spans="1:18" s="238" customFormat="1" ht="38.25" x14ac:dyDescent="0.2">
      <c r="A155" s="25" t="s">
        <v>368</v>
      </c>
      <c r="B155" s="16" t="s">
        <v>508</v>
      </c>
      <c r="C155" s="17">
        <v>102989</v>
      </c>
      <c r="D155" s="18" t="s">
        <v>198</v>
      </c>
      <c r="E155" s="19" t="s">
        <v>53</v>
      </c>
      <c r="F155" s="20">
        <v>2</v>
      </c>
      <c r="G155" s="86"/>
      <c r="H155" s="63" t="s">
        <v>12</v>
      </c>
      <c r="I155" s="169">
        <f t="shared" si="65"/>
        <v>0</v>
      </c>
      <c r="J155" s="222">
        <f t="shared" si="66"/>
        <v>0</v>
      </c>
      <c r="K155" s="86">
        <f t="shared" si="67"/>
        <v>0</v>
      </c>
      <c r="L155" s="223">
        <f t="shared" si="68"/>
        <v>0</v>
      </c>
      <c r="M155" s="102"/>
      <c r="O155" s="244">
        <v>48.12</v>
      </c>
      <c r="P155" s="244">
        <v>102.28999999999999</v>
      </c>
      <c r="Q155" s="244">
        <v>18.010000000000005</v>
      </c>
      <c r="R155" s="244">
        <v>120.3</v>
      </c>
    </row>
    <row r="156" spans="1:18" s="238" customFormat="1" ht="51" x14ac:dyDescent="0.2">
      <c r="A156" s="25" t="s">
        <v>369</v>
      </c>
      <c r="B156" s="16" t="s">
        <v>508</v>
      </c>
      <c r="C156" s="17">
        <v>103002</v>
      </c>
      <c r="D156" s="18" t="s">
        <v>199</v>
      </c>
      <c r="E156" s="19" t="s">
        <v>68</v>
      </c>
      <c r="F156" s="20">
        <v>2</v>
      </c>
      <c r="G156" s="86"/>
      <c r="H156" s="63" t="s">
        <v>12</v>
      </c>
      <c r="I156" s="169">
        <f t="shared" si="65"/>
        <v>0</v>
      </c>
      <c r="J156" s="222">
        <f t="shared" si="66"/>
        <v>0</v>
      </c>
      <c r="K156" s="86">
        <f t="shared" si="67"/>
        <v>0</v>
      </c>
      <c r="L156" s="223">
        <f t="shared" si="68"/>
        <v>0</v>
      </c>
      <c r="M156" s="102"/>
      <c r="O156" s="244">
        <v>252.71</v>
      </c>
      <c r="P156" s="244">
        <v>493.39000000000004</v>
      </c>
      <c r="Q156" s="244">
        <v>138.36999999999995</v>
      </c>
      <c r="R156" s="244">
        <v>631.76</v>
      </c>
    </row>
    <row r="157" spans="1:18" s="238" customFormat="1" ht="38.25" x14ac:dyDescent="0.2">
      <c r="A157" s="25" t="s">
        <v>370</v>
      </c>
      <c r="B157" s="16" t="s">
        <v>508</v>
      </c>
      <c r="C157" s="17">
        <v>104166</v>
      </c>
      <c r="D157" s="18" t="s">
        <v>200</v>
      </c>
      <c r="E157" s="19" t="s">
        <v>53</v>
      </c>
      <c r="F157" s="20">
        <v>12</v>
      </c>
      <c r="G157" s="86"/>
      <c r="H157" s="63" t="s">
        <v>12</v>
      </c>
      <c r="I157" s="169">
        <f t="shared" si="65"/>
        <v>0</v>
      </c>
      <c r="J157" s="222">
        <f t="shared" si="66"/>
        <v>0</v>
      </c>
      <c r="K157" s="86">
        <f t="shared" si="67"/>
        <v>0</v>
      </c>
      <c r="L157" s="223">
        <f t="shared" si="68"/>
        <v>0</v>
      </c>
      <c r="M157" s="102"/>
      <c r="O157" s="244">
        <v>100.68</v>
      </c>
      <c r="P157" s="244">
        <v>1247.6100000000001</v>
      </c>
      <c r="Q157" s="244">
        <v>262.58999999999992</v>
      </c>
      <c r="R157" s="244">
        <v>1510.2</v>
      </c>
    </row>
    <row r="158" spans="1:18" s="238" customFormat="1" ht="38.25" x14ac:dyDescent="0.2">
      <c r="A158" s="25" t="s">
        <v>371</v>
      </c>
      <c r="B158" s="16" t="s">
        <v>508</v>
      </c>
      <c r="C158" s="17">
        <v>104168</v>
      </c>
      <c r="D158" s="18" t="s">
        <v>201</v>
      </c>
      <c r="E158" s="19" t="s">
        <v>68</v>
      </c>
      <c r="F158" s="20">
        <v>5</v>
      </c>
      <c r="G158" s="86"/>
      <c r="H158" s="63" t="s">
        <v>12</v>
      </c>
      <c r="I158" s="169">
        <f t="shared" si="65"/>
        <v>0</v>
      </c>
      <c r="J158" s="222">
        <f t="shared" si="66"/>
        <v>0</v>
      </c>
      <c r="K158" s="86">
        <f t="shared" si="67"/>
        <v>0</v>
      </c>
      <c r="L158" s="223">
        <f t="shared" si="68"/>
        <v>0</v>
      </c>
      <c r="M158" s="102"/>
      <c r="O158" s="244">
        <v>146.82</v>
      </c>
      <c r="P158" s="244">
        <v>759.64</v>
      </c>
      <c r="Q158" s="244">
        <v>157.96000000000004</v>
      </c>
      <c r="R158" s="244">
        <v>917.6</v>
      </c>
    </row>
    <row r="159" spans="1:18" s="238" customFormat="1" ht="38.25" x14ac:dyDescent="0.2">
      <c r="A159" s="25" t="s">
        <v>372</v>
      </c>
      <c r="B159" s="16" t="s">
        <v>509</v>
      </c>
      <c r="C159" s="17" t="s">
        <v>63</v>
      </c>
      <c r="D159" s="18" t="s">
        <v>64</v>
      </c>
      <c r="E159" s="19" t="s">
        <v>53</v>
      </c>
      <c r="F159" s="20">
        <v>1</v>
      </c>
      <c r="G159" s="86"/>
      <c r="H159" s="63" t="s">
        <v>12</v>
      </c>
      <c r="I159" s="169">
        <f t="shared" si="65"/>
        <v>0</v>
      </c>
      <c r="J159" s="222">
        <f t="shared" si="66"/>
        <v>0</v>
      </c>
      <c r="K159" s="86">
        <f t="shared" si="67"/>
        <v>0</v>
      </c>
      <c r="L159" s="223">
        <f t="shared" si="68"/>
        <v>0</v>
      </c>
      <c r="M159" s="102"/>
      <c r="O159" s="244">
        <v>461.7</v>
      </c>
      <c r="P159" s="244">
        <v>482.72</v>
      </c>
      <c r="Q159" s="244">
        <v>94.399999999999977</v>
      </c>
      <c r="R159" s="244">
        <v>577.12</v>
      </c>
    </row>
    <row r="160" spans="1:18" s="239" customFormat="1" ht="30" customHeight="1" x14ac:dyDescent="0.2">
      <c r="A160" s="159">
        <v>19</v>
      </c>
      <c r="B160" s="160"/>
      <c r="C160" s="161"/>
      <c r="D160" s="162" t="s">
        <v>373</v>
      </c>
      <c r="E160" s="246"/>
      <c r="F160" s="247"/>
      <c r="G160" s="247"/>
      <c r="H160" s="247"/>
      <c r="I160" s="247"/>
      <c r="J160" s="178">
        <f>SUM(J161:J166)</f>
        <v>0</v>
      </c>
      <c r="K160" s="163">
        <f>SUM(K161:K166)</f>
        <v>0</v>
      </c>
      <c r="L160" s="179">
        <f>SUM(L161:L166)</f>
        <v>0</v>
      </c>
      <c r="M160" s="164" t="e">
        <f>L160/$L$207</f>
        <v>#DIV/0!</v>
      </c>
      <c r="O160" s="244"/>
      <c r="P160" s="244">
        <v>10165.080000000002</v>
      </c>
      <c r="Q160" s="244">
        <v>1541.6499999999999</v>
      </c>
      <c r="R160" s="244">
        <v>11706.73</v>
      </c>
    </row>
    <row r="161" spans="1:18" s="238" customFormat="1" ht="25.5" x14ac:dyDescent="0.2">
      <c r="A161" s="80" t="s">
        <v>374</v>
      </c>
      <c r="B161" s="23" t="s">
        <v>510</v>
      </c>
      <c r="C161" s="17" t="s">
        <v>206</v>
      </c>
      <c r="D161" s="18" t="s">
        <v>207</v>
      </c>
      <c r="E161" s="19" t="s">
        <v>36</v>
      </c>
      <c r="F161" s="85">
        <v>54.3</v>
      </c>
      <c r="G161" s="86"/>
      <c r="H161" s="63" t="s">
        <v>12</v>
      </c>
      <c r="I161" s="169">
        <f t="shared" ref="I161:I166" si="69">TRUNC(G161*(1+HLOOKUP(H161,$F$6:$I$7,2,FALSE)),2)</f>
        <v>0</v>
      </c>
      <c r="J161" s="222">
        <f t="shared" ref="J161:J166" si="70">IF(G161="",0,IF($L$7=0,P161,ROUND($R$7*L161,2)))</f>
        <v>0</v>
      </c>
      <c r="K161" s="86">
        <f t="shared" ref="K161:K166" si="71">L161-J161</f>
        <v>0</v>
      </c>
      <c r="L161" s="223">
        <f t="shared" ref="L161:L166" si="72">ROUND(F161*I161,2)</f>
        <v>0</v>
      </c>
      <c r="M161" s="173"/>
      <c r="O161" s="244">
        <v>10.029999999999999</v>
      </c>
      <c r="P161" s="244">
        <v>612.34</v>
      </c>
      <c r="Q161" s="244">
        <v>68.039999999999964</v>
      </c>
      <c r="R161" s="244">
        <v>680.38</v>
      </c>
    </row>
    <row r="162" spans="1:18" s="238" customFormat="1" ht="25.5" x14ac:dyDescent="0.2">
      <c r="A162" s="80" t="s">
        <v>375</v>
      </c>
      <c r="B162" s="23" t="s">
        <v>510</v>
      </c>
      <c r="C162" s="17">
        <v>70090091</v>
      </c>
      <c r="D162" s="18" t="s">
        <v>208</v>
      </c>
      <c r="E162" s="19" t="s">
        <v>57</v>
      </c>
      <c r="F162" s="85">
        <v>8.15</v>
      </c>
      <c r="G162" s="86"/>
      <c r="H162" s="63" t="s">
        <v>12</v>
      </c>
      <c r="I162" s="169">
        <f t="shared" si="69"/>
        <v>0</v>
      </c>
      <c r="J162" s="222">
        <f t="shared" si="70"/>
        <v>0</v>
      </c>
      <c r="K162" s="86">
        <f t="shared" si="71"/>
        <v>0</v>
      </c>
      <c r="L162" s="223">
        <f t="shared" si="72"/>
        <v>0</v>
      </c>
      <c r="M162" s="173"/>
      <c r="O162" s="244">
        <v>215.42</v>
      </c>
      <c r="P162" s="244">
        <v>1669.88</v>
      </c>
      <c r="Q162" s="244">
        <v>524.67000000000007</v>
      </c>
      <c r="R162" s="244">
        <v>2194.5500000000002</v>
      </c>
    </row>
    <row r="163" spans="1:18" s="238" customFormat="1" ht="25.5" x14ac:dyDescent="0.2">
      <c r="A163" s="80" t="s">
        <v>376</v>
      </c>
      <c r="B163" s="23" t="s">
        <v>509</v>
      </c>
      <c r="C163" s="16" t="s">
        <v>209</v>
      </c>
      <c r="D163" s="18" t="s">
        <v>210</v>
      </c>
      <c r="E163" s="19" t="s">
        <v>36</v>
      </c>
      <c r="F163" s="85">
        <v>54.3</v>
      </c>
      <c r="G163" s="86"/>
      <c r="H163" s="63" t="s">
        <v>12</v>
      </c>
      <c r="I163" s="169">
        <f t="shared" si="69"/>
        <v>0</v>
      </c>
      <c r="J163" s="222">
        <f t="shared" si="70"/>
        <v>0</v>
      </c>
      <c r="K163" s="86">
        <f t="shared" si="71"/>
        <v>0</v>
      </c>
      <c r="L163" s="223">
        <f t="shared" si="72"/>
        <v>0</v>
      </c>
      <c r="M163" s="173"/>
      <c r="O163" s="244">
        <v>6.03</v>
      </c>
      <c r="P163" s="244">
        <v>406.1</v>
      </c>
      <c r="Q163" s="244">
        <v>2.7799999999999727</v>
      </c>
      <c r="R163" s="244">
        <v>408.88</v>
      </c>
    </row>
    <row r="164" spans="1:18" s="238" customFormat="1" ht="38.25" x14ac:dyDescent="0.2">
      <c r="A164" s="80" t="s">
        <v>377</v>
      </c>
      <c r="B164" s="23" t="s">
        <v>508</v>
      </c>
      <c r="C164" s="16">
        <v>102098</v>
      </c>
      <c r="D164" s="18" t="s">
        <v>211</v>
      </c>
      <c r="E164" s="19" t="s">
        <v>57</v>
      </c>
      <c r="F164" s="20">
        <v>2.72</v>
      </c>
      <c r="G164" s="86"/>
      <c r="H164" s="63" t="s">
        <v>12</v>
      </c>
      <c r="I164" s="169">
        <f t="shared" si="69"/>
        <v>0</v>
      </c>
      <c r="J164" s="222">
        <f t="shared" si="70"/>
        <v>0</v>
      </c>
      <c r="K164" s="86">
        <f t="shared" si="71"/>
        <v>0</v>
      </c>
      <c r="L164" s="223">
        <f t="shared" si="72"/>
        <v>0</v>
      </c>
      <c r="M164" s="173"/>
      <c r="O164" s="244">
        <v>2023.15</v>
      </c>
      <c r="P164" s="244">
        <v>6202.03</v>
      </c>
      <c r="Q164" s="244">
        <v>676.65999999999985</v>
      </c>
      <c r="R164" s="244">
        <v>6878.69</v>
      </c>
    </row>
    <row r="165" spans="1:18" s="238" customFormat="1" ht="63.75" x14ac:dyDescent="0.2">
      <c r="A165" s="80" t="s">
        <v>378</v>
      </c>
      <c r="B165" s="198" t="s">
        <v>508</v>
      </c>
      <c r="C165" s="81">
        <v>100979</v>
      </c>
      <c r="D165" s="83" t="s">
        <v>212</v>
      </c>
      <c r="E165" s="84" t="s">
        <v>57</v>
      </c>
      <c r="F165" s="85">
        <v>15.2</v>
      </c>
      <c r="G165" s="86"/>
      <c r="H165" s="87" t="s">
        <v>12</v>
      </c>
      <c r="I165" s="168">
        <f t="shared" si="69"/>
        <v>0</v>
      </c>
      <c r="J165" s="222">
        <f t="shared" si="70"/>
        <v>0</v>
      </c>
      <c r="K165" s="86">
        <f t="shared" si="71"/>
        <v>0</v>
      </c>
      <c r="L165" s="223">
        <f t="shared" si="72"/>
        <v>0</v>
      </c>
      <c r="M165" s="173"/>
      <c r="O165" s="244">
        <v>7.34</v>
      </c>
      <c r="P165" s="244">
        <v>121.19999999999999</v>
      </c>
      <c r="Q165" s="244">
        <v>18.180000000000007</v>
      </c>
      <c r="R165" s="244">
        <v>139.38</v>
      </c>
    </row>
    <row r="166" spans="1:18" s="238" customFormat="1" ht="38.25" x14ac:dyDescent="0.2">
      <c r="A166" s="80" t="s">
        <v>379</v>
      </c>
      <c r="B166" s="198" t="s">
        <v>508</v>
      </c>
      <c r="C166" s="81">
        <v>95876</v>
      </c>
      <c r="D166" s="83" t="s">
        <v>213</v>
      </c>
      <c r="E166" s="84" t="s">
        <v>214</v>
      </c>
      <c r="F166" s="85">
        <v>456.12</v>
      </c>
      <c r="G166" s="86"/>
      <c r="H166" s="87" t="s">
        <v>12</v>
      </c>
      <c r="I166" s="168">
        <f t="shared" si="69"/>
        <v>0</v>
      </c>
      <c r="J166" s="222">
        <f t="shared" si="70"/>
        <v>0</v>
      </c>
      <c r="K166" s="86">
        <f t="shared" si="71"/>
        <v>0</v>
      </c>
      <c r="L166" s="223">
        <f t="shared" si="72"/>
        <v>0</v>
      </c>
      <c r="M166" s="173"/>
      <c r="O166" s="244">
        <v>2.4700000000000002</v>
      </c>
      <c r="P166" s="244">
        <v>1153.53</v>
      </c>
      <c r="Q166" s="244">
        <v>251.31999999999994</v>
      </c>
      <c r="R166" s="244">
        <v>1404.85</v>
      </c>
    </row>
    <row r="167" spans="1:18" s="239" customFormat="1" ht="30" customHeight="1" x14ac:dyDescent="0.2">
      <c r="A167" s="159">
        <v>20</v>
      </c>
      <c r="B167" s="160"/>
      <c r="C167" s="161"/>
      <c r="D167" s="162" t="s">
        <v>216</v>
      </c>
      <c r="E167" s="246"/>
      <c r="F167" s="247"/>
      <c r="G167" s="247"/>
      <c r="H167" s="247"/>
      <c r="I167" s="247"/>
      <c r="J167" s="178">
        <f>SUM(J168:J175)</f>
        <v>0</v>
      </c>
      <c r="K167" s="163">
        <f>SUM(K168:K175)</f>
        <v>0</v>
      </c>
      <c r="L167" s="179">
        <f>SUM(L168:L175)</f>
        <v>0</v>
      </c>
      <c r="M167" s="164" t="e">
        <f>L167/$L$207</f>
        <v>#DIV/0!</v>
      </c>
      <c r="O167" s="244"/>
      <c r="P167" s="244">
        <v>16618.97</v>
      </c>
      <c r="Q167" s="244">
        <v>3101.76</v>
      </c>
      <c r="R167" s="244">
        <v>19720.73</v>
      </c>
    </row>
    <row r="168" spans="1:18" s="238" customFormat="1" ht="25.5" x14ac:dyDescent="0.2">
      <c r="A168" s="80" t="s">
        <v>380</v>
      </c>
      <c r="B168" s="81" t="s">
        <v>509</v>
      </c>
      <c r="C168" s="82" t="s">
        <v>217</v>
      </c>
      <c r="D168" s="83" t="str">
        <f>UPPER("Regularização e compactação mecanizada de superfície, sem controle do proctor normal")</f>
        <v>REGULARIZAÇÃO E COMPACTAÇÃO MECANIZADA DE SUPERFÍCIE, SEM CONTROLE DO PROCTOR NORMAL</v>
      </c>
      <c r="E168" s="84" t="s">
        <v>36</v>
      </c>
      <c r="F168" s="85">
        <v>118.02</v>
      </c>
      <c r="G168" s="86"/>
      <c r="H168" s="87" t="s">
        <v>12</v>
      </c>
      <c r="I168" s="169">
        <f t="shared" ref="I168:I175" si="73">TRUNC(G168*(1+HLOOKUP(H168,$F$6:$I$7,2,FALSE)),2)</f>
        <v>0</v>
      </c>
      <c r="J168" s="222">
        <f t="shared" ref="J168:J175" si="74">IF(G168="",0,IF($L$7=0,P168,ROUND($R$7*L168,2)))</f>
        <v>0</v>
      </c>
      <c r="K168" s="86">
        <f t="shared" ref="K168:K175" si="75">L168-J168</f>
        <v>0</v>
      </c>
      <c r="L168" s="223">
        <f t="shared" ref="L168:L175" si="76">ROUND(F168*I168,2)</f>
        <v>0</v>
      </c>
      <c r="M168" s="173"/>
      <c r="O168" s="244">
        <v>3.55</v>
      </c>
      <c r="P168" s="244">
        <v>499.22</v>
      </c>
      <c r="Q168" s="244">
        <v>23.610000000000014</v>
      </c>
      <c r="R168" s="244">
        <v>522.83000000000004</v>
      </c>
    </row>
    <row r="169" spans="1:18" s="238" customFormat="1" ht="38.25" x14ac:dyDescent="0.2">
      <c r="A169" s="25" t="s">
        <v>381</v>
      </c>
      <c r="B169" s="16" t="s">
        <v>508</v>
      </c>
      <c r="C169" s="17">
        <v>92403</v>
      </c>
      <c r="D169" s="18" t="s">
        <v>218</v>
      </c>
      <c r="E169" s="19" t="s">
        <v>36</v>
      </c>
      <c r="F169" s="85">
        <v>117.48</v>
      </c>
      <c r="G169" s="86"/>
      <c r="H169" s="63" t="s">
        <v>12</v>
      </c>
      <c r="I169" s="168">
        <f>ROUND(G169*(1+HLOOKUP(H169,$F$6:$I$7,2,FALSE)),2)</f>
        <v>0</v>
      </c>
      <c r="J169" s="222">
        <f t="shared" si="74"/>
        <v>0</v>
      </c>
      <c r="K169" s="86">
        <f t="shared" si="75"/>
        <v>0</v>
      </c>
      <c r="L169" s="223">
        <f t="shared" si="76"/>
        <v>0</v>
      </c>
      <c r="M169" s="102"/>
      <c r="O169" s="244">
        <v>97.74</v>
      </c>
      <c r="P169" s="244">
        <v>12078.82</v>
      </c>
      <c r="Q169" s="244">
        <v>2274.8899999999994</v>
      </c>
      <c r="R169" s="244">
        <v>14353.71</v>
      </c>
    </row>
    <row r="170" spans="1:18" s="238" customFormat="1" ht="38.25" x14ac:dyDescent="0.2">
      <c r="A170" s="80" t="s">
        <v>382</v>
      </c>
      <c r="B170" s="81" t="s">
        <v>508</v>
      </c>
      <c r="C170" s="82">
        <v>95877</v>
      </c>
      <c r="D170" s="83" t="s">
        <v>219</v>
      </c>
      <c r="E170" s="84" t="s">
        <v>214</v>
      </c>
      <c r="F170" s="85">
        <v>352.45</v>
      </c>
      <c r="G170" s="86"/>
      <c r="H170" s="63" t="s">
        <v>12</v>
      </c>
      <c r="I170" s="169">
        <f t="shared" si="73"/>
        <v>0</v>
      </c>
      <c r="J170" s="222">
        <f t="shared" si="74"/>
        <v>0</v>
      </c>
      <c r="K170" s="86">
        <f t="shared" si="75"/>
        <v>0</v>
      </c>
      <c r="L170" s="223">
        <f t="shared" si="76"/>
        <v>0</v>
      </c>
      <c r="M170" s="173"/>
      <c r="O170" s="244">
        <v>2.11</v>
      </c>
      <c r="P170" s="244">
        <v>764.46</v>
      </c>
      <c r="Q170" s="244">
        <v>162.48000000000002</v>
      </c>
      <c r="R170" s="244">
        <v>926.94</v>
      </c>
    </row>
    <row r="171" spans="1:18" s="238" customFormat="1" ht="51" x14ac:dyDescent="0.2">
      <c r="A171" s="25" t="s">
        <v>383</v>
      </c>
      <c r="B171" s="81" t="s">
        <v>508</v>
      </c>
      <c r="C171" s="82">
        <v>101165</v>
      </c>
      <c r="D171" s="83" t="s">
        <v>220</v>
      </c>
      <c r="E171" s="84" t="s">
        <v>57</v>
      </c>
      <c r="F171" s="85">
        <v>1.19</v>
      </c>
      <c r="G171" s="86"/>
      <c r="H171" s="63" t="s">
        <v>12</v>
      </c>
      <c r="I171" s="169">
        <f t="shared" si="73"/>
        <v>0</v>
      </c>
      <c r="J171" s="222">
        <f t="shared" si="74"/>
        <v>0</v>
      </c>
      <c r="K171" s="86">
        <f t="shared" si="75"/>
        <v>0</v>
      </c>
      <c r="L171" s="223">
        <f t="shared" si="76"/>
        <v>0</v>
      </c>
      <c r="M171" s="173"/>
      <c r="O171" s="244">
        <v>1191.32</v>
      </c>
      <c r="P171" s="244">
        <v>1469.08</v>
      </c>
      <c r="Q171" s="244">
        <v>303.01</v>
      </c>
      <c r="R171" s="244">
        <v>1772.09</v>
      </c>
    </row>
    <row r="172" spans="1:18" s="238" customFormat="1" ht="25.5" x14ac:dyDescent="0.2">
      <c r="A172" s="80" t="s">
        <v>384</v>
      </c>
      <c r="B172" s="81" t="s">
        <v>509</v>
      </c>
      <c r="C172" s="82" t="s">
        <v>221</v>
      </c>
      <c r="D172" s="83" t="s">
        <v>222</v>
      </c>
      <c r="E172" s="84" t="s">
        <v>36</v>
      </c>
      <c r="F172" s="85">
        <v>12.94</v>
      </c>
      <c r="G172" s="86"/>
      <c r="H172" s="63" t="s">
        <v>12</v>
      </c>
      <c r="I172" s="169">
        <f t="shared" si="73"/>
        <v>0</v>
      </c>
      <c r="J172" s="222">
        <f t="shared" si="74"/>
        <v>0</v>
      </c>
      <c r="K172" s="86">
        <f t="shared" si="75"/>
        <v>0</v>
      </c>
      <c r="L172" s="223">
        <f t="shared" si="76"/>
        <v>0</v>
      </c>
      <c r="M172" s="173"/>
      <c r="O172" s="244">
        <v>8.1</v>
      </c>
      <c r="P172" s="244">
        <v>111.57</v>
      </c>
      <c r="Q172" s="244">
        <v>19.379999999999995</v>
      </c>
      <c r="R172" s="244">
        <v>130.94999999999999</v>
      </c>
    </row>
    <row r="173" spans="1:18" s="238" customFormat="1" ht="25.5" x14ac:dyDescent="0.2">
      <c r="A173" s="25" t="s">
        <v>385</v>
      </c>
      <c r="B173" s="81" t="s">
        <v>509</v>
      </c>
      <c r="C173" s="82" t="s">
        <v>223</v>
      </c>
      <c r="D173" s="83" t="s">
        <v>224</v>
      </c>
      <c r="E173" s="84" t="s">
        <v>36</v>
      </c>
      <c r="F173" s="85">
        <v>12.94</v>
      </c>
      <c r="G173" s="86"/>
      <c r="H173" s="63" t="s">
        <v>12</v>
      </c>
      <c r="I173" s="169">
        <f t="shared" si="73"/>
        <v>0</v>
      </c>
      <c r="J173" s="222">
        <f t="shared" si="74"/>
        <v>0</v>
      </c>
      <c r="K173" s="86">
        <f t="shared" si="75"/>
        <v>0</v>
      </c>
      <c r="L173" s="223">
        <f t="shared" si="76"/>
        <v>0</v>
      </c>
      <c r="M173" s="173"/>
      <c r="O173" s="244">
        <v>15.29</v>
      </c>
      <c r="P173" s="244">
        <v>212.19</v>
      </c>
      <c r="Q173" s="244">
        <v>35.090000000000003</v>
      </c>
      <c r="R173" s="244">
        <v>247.28</v>
      </c>
    </row>
    <row r="174" spans="1:18" s="238" customFormat="1" ht="38.25" x14ac:dyDescent="0.2">
      <c r="A174" s="80" t="s">
        <v>386</v>
      </c>
      <c r="B174" s="81" t="s">
        <v>509</v>
      </c>
      <c r="C174" s="82" t="s">
        <v>225</v>
      </c>
      <c r="D174" s="83" t="s">
        <v>226</v>
      </c>
      <c r="E174" s="84" t="s">
        <v>57</v>
      </c>
      <c r="F174" s="85">
        <v>0.26</v>
      </c>
      <c r="G174" s="86"/>
      <c r="H174" s="63" t="s">
        <v>12</v>
      </c>
      <c r="I174" s="169">
        <f t="shared" si="73"/>
        <v>0</v>
      </c>
      <c r="J174" s="222">
        <f t="shared" si="74"/>
        <v>0</v>
      </c>
      <c r="K174" s="86">
        <f t="shared" si="75"/>
        <v>0</v>
      </c>
      <c r="L174" s="223">
        <f t="shared" si="76"/>
        <v>0</v>
      </c>
      <c r="M174" s="173"/>
      <c r="O174" s="244">
        <v>1956.48</v>
      </c>
      <c r="P174" s="244">
        <v>552.28</v>
      </c>
      <c r="Q174" s="244">
        <v>83.580000000000041</v>
      </c>
      <c r="R174" s="244">
        <v>635.86</v>
      </c>
    </row>
    <row r="175" spans="1:18" s="238" customFormat="1" ht="25.5" x14ac:dyDescent="0.2">
      <c r="A175" s="25" t="s">
        <v>387</v>
      </c>
      <c r="B175" s="81" t="s">
        <v>508</v>
      </c>
      <c r="C175" s="82">
        <v>102719</v>
      </c>
      <c r="D175" s="83" t="s">
        <v>227</v>
      </c>
      <c r="E175" s="84" t="s">
        <v>57</v>
      </c>
      <c r="F175" s="85">
        <v>6.2</v>
      </c>
      <c r="G175" s="86"/>
      <c r="H175" s="63" t="s">
        <v>12</v>
      </c>
      <c r="I175" s="169">
        <f t="shared" si="73"/>
        <v>0</v>
      </c>
      <c r="J175" s="222">
        <f t="shared" si="74"/>
        <v>0</v>
      </c>
      <c r="K175" s="86">
        <f t="shared" si="75"/>
        <v>0</v>
      </c>
      <c r="L175" s="223">
        <f t="shared" si="76"/>
        <v>0</v>
      </c>
      <c r="M175" s="173"/>
      <c r="O175" s="244">
        <v>145.94999999999999</v>
      </c>
      <c r="P175" s="244">
        <v>931.34999999999991</v>
      </c>
      <c r="Q175" s="244">
        <v>199.72000000000003</v>
      </c>
      <c r="R175" s="244">
        <v>1131.07</v>
      </c>
    </row>
    <row r="176" spans="1:18" s="239" customFormat="1" ht="30" customHeight="1" x14ac:dyDescent="0.2">
      <c r="A176" s="159">
        <v>21</v>
      </c>
      <c r="B176" s="160"/>
      <c r="C176" s="161"/>
      <c r="D176" s="186" t="s">
        <v>388</v>
      </c>
      <c r="E176" s="246"/>
      <c r="F176" s="247"/>
      <c r="G176" s="247"/>
      <c r="H176" s="247"/>
      <c r="I176" s="247"/>
      <c r="J176" s="178">
        <f>SUM(J177:J178)</f>
        <v>0</v>
      </c>
      <c r="K176" s="163">
        <f>SUM(K177:K178)</f>
        <v>0</v>
      </c>
      <c r="L176" s="179">
        <f>SUM(L177:L178)</f>
        <v>0</v>
      </c>
      <c r="M176" s="164" t="e">
        <f>L176/$L$207</f>
        <v>#DIV/0!</v>
      </c>
      <c r="O176" s="244"/>
      <c r="P176" s="244">
        <v>2937.46</v>
      </c>
      <c r="Q176" s="244">
        <v>305.69000000000005</v>
      </c>
      <c r="R176" s="244">
        <v>3243.15</v>
      </c>
    </row>
    <row r="177" spans="1:18" s="238" customFormat="1" ht="25.5" x14ac:dyDescent="0.2">
      <c r="A177" s="25" t="s">
        <v>389</v>
      </c>
      <c r="B177" s="16" t="s">
        <v>508</v>
      </c>
      <c r="C177" s="17">
        <v>88485</v>
      </c>
      <c r="D177" s="18" t="s">
        <v>230</v>
      </c>
      <c r="E177" s="19" t="s">
        <v>36</v>
      </c>
      <c r="F177" s="20">
        <v>121.74</v>
      </c>
      <c r="G177" s="86"/>
      <c r="H177" s="63" t="s">
        <v>12</v>
      </c>
      <c r="I177" s="169">
        <f t="shared" ref="I177:I184" si="77">TRUNC(G177*(1+HLOOKUP(H177,$F$6:$I$7,2,FALSE)),2)</f>
        <v>0</v>
      </c>
      <c r="J177" s="222">
        <f>IF(G177="",0,IF($L$7=0,P177,ROUND($R$7*L177,2)))</f>
        <v>0</v>
      </c>
      <c r="K177" s="86">
        <f t="shared" ref="K177:K178" si="78">L177-J177</f>
        <v>0</v>
      </c>
      <c r="L177" s="223">
        <f t="shared" ref="L177:L178" si="79">ROUND(F177*I177,2)</f>
        <v>0</v>
      </c>
      <c r="M177" s="102"/>
      <c r="O177" s="244">
        <v>5.17</v>
      </c>
      <c r="P177" s="244">
        <v>715.46</v>
      </c>
      <c r="Q177" s="244">
        <v>70.980000000000018</v>
      </c>
      <c r="R177" s="244">
        <v>786.44</v>
      </c>
    </row>
    <row r="178" spans="1:18" s="238" customFormat="1" ht="38.25" x14ac:dyDescent="0.2">
      <c r="A178" s="25" t="s">
        <v>390</v>
      </c>
      <c r="B178" s="16" t="s">
        <v>508</v>
      </c>
      <c r="C178" s="17">
        <v>95305</v>
      </c>
      <c r="D178" s="18" t="s">
        <v>231</v>
      </c>
      <c r="E178" s="19" t="s">
        <v>36</v>
      </c>
      <c r="F178" s="20">
        <v>121.74</v>
      </c>
      <c r="G178" s="86"/>
      <c r="H178" s="63" t="s">
        <v>12</v>
      </c>
      <c r="I178" s="169">
        <f t="shared" si="77"/>
        <v>0</v>
      </c>
      <c r="J178" s="222">
        <f>IF(G178="",0,IF($L$7=0,P178,ROUND($R$7*L178,2)))</f>
        <v>0</v>
      </c>
      <c r="K178" s="86">
        <f t="shared" si="78"/>
        <v>0</v>
      </c>
      <c r="L178" s="223">
        <f t="shared" si="79"/>
        <v>0</v>
      </c>
      <c r="M178" s="102"/>
      <c r="O178" s="244">
        <v>16.149999999999999</v>
      </c>
      <c r="P178" s="244">
        <v>2222</v>
      </c>
      <c r="Q178" s="244">
        <v>234.71000000000004</v>
      </c>
      <c r="R178" s="244">
        <v>2456.71</v>
      </c>
    </row>
    <row r="179" spans="1:18" s="239" customFormat="1" ht="30" customHeight="1" x14ac:dyDescent="0.2">
      <c r="A179" s="159">
        <v>22</v>
      </c>
      <c r="B179" s="160"/>
      <c r="C179" s="161"/>
      <c r="D179" s="186" t="s">
        <v>391</v>
      </c>
      <c r="E179" s="246"/>
      <c r="F179" s="247"/>
      <c r="G179" s="247"/>
      <c r="H179" s="247"/>
      <c r="I179" s="247"/>
      <c r="J179" s="178">
        <f>SUM(J180:J181)</f>
        <v>0</v>
      </c>
      <c r="K179" s="163">
        <f>SUM(K180:K181)</f>
        <v>0</v>
      </c>
      <c r="L179" s="179">
        <f>SUM(L180:L181)</f>
        <v>0</v>
      </c>
      <c r="M179" s="164" t="e">
        <f>L179/$L$207</f>
        <v>#DIV/0!</v>
      </c>
      <c r="O179" s="244"/>
      <c r="P179" s="244">
        <v>4297.9699999999993</v>
      </c>
      <c r="Q179" s="244">
        <v>462.78000000000043</v>
      </c>
      <c r="R179" s="244">
        <v>4760.75</v>
      </c>
    </row>
    <row r="180" spans="1:18" s="238" customFormat="1" ht="25.5" x14ac:dyDescent="0.2">
      <c r="A180" s="25" t="s">
        <v>392</v>
      </c>
      <c r="B180" s="16" t="s">
        <v>508</v>
      </c>
      <c r="C180" s="17">
        <v>88485</v>
      </c>
      <c r="D180" s="18" t="s">
        <v>230</v>
      </c>
      <c r="E180" s="19" t="s">
        <v>36</v>
      </c>
      <c r="F180" s="20">
        <v>184.74</v>
      </c>
      <c r="G180" s="86"/>
      <c r="H180" s="63" t="s">
        <v>12</v>
      </c>
      <c r="I180" s="169">
        <f t="shared" ref="I180:I181" si="80">TRUNC(G180*(1+HLOOKUP(H180,$F$6:$I$7,2,FALSE)),2)</f>
        <v>0</v>
      </c>
      <c r="J180" s="222">
        <f>IF(G180="",0,IF($L$7=0,P180,ROUND($R$7*L180,2)))</f>
        <v>0</v>
      </c>
      <c r="K180" s="86">
        <f t="shared" ref="K180:K181" si="81">L180-J180</f>
        <v>0</v>
      </c>
      <c r="L180" s="223">
        <f t="shared" ref="L180:L181" si="82">ROUND(F180*I180,2)</f>
        <v>0</v>
      </c>
      <c r="M180" s="102"/>
      <c r="O180" s="244">
        <v>5.17</v>
      </c>
      <c r="P180" s="244">
        <v>1085.7099999999998</v>
      </c>
      <c r="Q180" s="244">
        <v>107.71000000000026</v>
      </c>
      <c r="R180" s="244">
        <v>1193.42</v>
      </c>
    </row>
    <row r="181" spans="1:18" s="238" customFormat="1" ht="38.25" x14ac:dyDescent="0.2">
      <c r="A181" s="25" t="s">
        <v>393</v>
      </c>
      <c r="B181" s="16" t="s">
        <v>508</v>
      </c>
      <c r="C181" s="17">
        <v>88489</v>
      </c>
      <c r="D181" s="18" t="s">
        <v>233</v>
      </c>
      <c r="E181" s="19" t="s">
        <v>36</v>
      </c>
      <c r="F181" s="20">
        <v>184.74</v>
      </c>
      <c r="G181" s="86"/>
      <c r="H181" s="63" t="s">
        <v>12</v>
      </c>
      <c r="I181" s="169">
        <f t="shared" si="80"/>
        <v>0</v>
      </c>
      <c r="J181" s="222">
        <f>IF(G181="",0,IF($L$7=0,P181,ROUND($R$7*L181,2)))</f>
        <v>0</v>
      </c>
      <c r="K181" s="86">
        <f t="shared" si="81"/>
        <v>0</v>
      </c>
      <c r="L181" s="223">
        <f t="shared" si="82"/>
        <v>0</v>
      </c>
      <c r="M181" s="102"/>
      <c r="O181" s="244">
        <v>15.45</v>
      </c>
      <c r="P181" s="244">
        <v>3212.2599999999998</v>
      </c>
      <c r="Q181" s="244">
        <v>355.07000000000016</v>
      </c>
      <c r="R181" s="244">
        <v>3567.33</v>
      </c>
    </row>
    <row r="182" spans="1:18" s="239" customFormat="1" ht="30" customHeight="1" x14ac:dyDescent="0.2">
      <c r="A182" s="159">
        <v>23</v>
      </c>
      <c r="B182" s="160"/>
      <c r="C182" s="161"/>
      <c r="D182" s="186" t="s">
        <v>394</v>
      </c>
      <c r="E182" s="246"/>
      <c r="F182" s="247"/>
      <c r="G182" s="247"/>
      <c r="H182" s="247"/>
      <c r="I182" s="247"/>
      <c r="J182" s="178">
        <f>SUM(J183:J185)</f>
        <v>0</v>
      </c>
      <c r="K182" s="163">
        <f>SUM(K183:K185)</f>
        <v>0</v>
      </c>
      <c r="L182" s="179">
        <f>SUM(L183:L185)</f>
        <v>0</v>
      </c>
      <c r="M182" s="164" t="e">
        <f>L182/$L$207</f>
        <v>#DIV/0!</v>
      </c>
      <c r="O182" s="244"/>
      <c r="P182" s="244">
        <v>1838.6100000000001</v>
      </c>
      <c r="Q182" s="244">
        <v>230.66999999999979</v>
      </c>
      <c r="R182" s="244">
        <v>2069.2799999999997</v>
      </c>
    </row>
    <row r="183" spans="1:18" s="238" customFormat="1" ht="25.5" x14ac:dyDescent="0.2">
      <c r="A183" s="25" t="s">
        <v>395</v>
      </c>
      <c r="B183" s="16" t="s">
        <v>508</v>
      </c>
      <c r="C183" s="17">
        <v>88485</v>
      </c>
      <c r="D183" s="18" t="s">
        <v>230</v>
      </c>
      <c r="E183" s="19" t="s">
        <v>36</v>
      </c>
      <c r="F183" s="20">
        <v>44.15</v>
      </c>
      <c r="G183" s="86"/>
      <c r="H183" s="63" t="s">
        <v>12</v>
      </c>
      <c r="I183" s="169">
        <f t="shared" ref="I183" si="83">TRUNC(G183*(1+HLOOKUP(H183,$F$6:$I$7,2,FALSE)),2)</f>
        <v>0</v>
      </c>
      <c r="J183" s="222">
        <f>IF(G183="",0,IF($L$7=0,P183,ROUND($R$7*L183,2)))</f>
        <v>0</v>
      </c>
      <c r="K183" s="86">
        <f t="shared" ref="K183:K185" si="84">L183-J183</f>
        <v>0</v>
      </c>
      <c r="L183" s="223">
        <f t="shared" ref="L183:L185" si="85">ROUND(F183*I183,2)</f>
        <v>0</v>
      </c>
      <c r="M183" s="102"/>
      <c r="O183" s="244">
        <v>5.17</v>
      </c>
      <c r="P183" s="244">
        <v>259.47000000000003</v>
      </c>
      <c r="Q183" s="244">
        <v>25.739999999999952</v>
      </c>
      <c r="R183" s="244">
        <v>285.20999999999998</v>
      </c>
    </row>
    <row r="184" spans="1:18" s="238" customFormat="1" ht="38.25" x14ac:dyDescent="0.2">
      <c r="A184" s="25" t="s">
        <v>396</v>
      </c>
      <c r="B184" s="16" t="s">
        <v>508</v>
      </c>
      <c r="C184" s="17">
        <v>88489</v>
      </c>
      <c r="D184" s="18" t="s">
        <v>233</v>
      </c>
      <c r="E184" s="19" t="s">
        <v>36</v>
      </c>
      <c r="F184" s="20">
        <v>44.15</v>
      </c>
      <c r="G184" s="86"/>
      <c r="H184" s="63" t="s">
        <v>12</v>
      </c>
      <c r="I184" s="169">
        <f t="shared" si="77"/>
        <v>0</v>
      </c>
      <c r="J184" s="222">
        <f>IF(G184="",0,IF($L$7=0,P184,ROUND($R$7*L184,2)))</f>
        <v>0</v>
      </c>
      <c r="K184" s="86">
        <f t="shared" si="84"/>
        <v>0</v>
      </c>
      <c r="L184" s="223">
        <f t="shared" si="85"/>
        <v>0</v>
      </c>
      <c r="M184" s="102"/>
      <c r="O184" s="244">
        <v>15.45</v>
      </c>
      <c r="P184" s="244">
        <v>767.68000000000006</v>
      </c>
      <c r="Q184" s="244">
        <v>84.8599999999999</v>
      </c>
      <c r="R184" s="244">
        <v>852.54</v>
      </c>
    </row>
    <row r="185" spans="1:18" s="238" customFormat="1" ht="51" x14ac:dyDescent="0.2">
      <c r="A185" s="25" t="s">
        <v>397</v>
      </c>
      <c r="B185" s="16" t="s">
        <v>508</v>
      </c>
      <c r="C185" s="17">
        <v>102513</v>
      </c>
      <c r="D185" s="18" t="s">
        <v>241</v>
      </c>
      <c r="E185" s="19" t="s">
        <v>36</v>
      </c>
      <c r="F185" s="20">
        <v>11.82</v>
      </c>
      <c r="G185" s="86"/>
      <c r="H185" s="63" t="s">
        <v>12</v>
      </c>
      <c r="I185" s="169">
        <f>TRUNC(G185*(1+HLOOKUP(H185,$F$6:$I$7,2,FALSE)),2)</f>
        <v>0</v>
      </c>
      <c r="J185" s="222">
        <f>IF(G185="",0,IF($L$7=0,P185,ROUND($R$7*L185,2)))</f>
        <v>0</v>
      </c>
      <c r="K185" s="86">
        <f t="shared" si="84"/>
        <v>0</v>
      </c>
      <c r="L185" s="223">
        <f t="shared" si="85"/>
        <v>0</v>
      </c>
      <c r="M185" s="102"/>
      <c r="O185" s="244">
        <v>63.05</v>
      </c>
      <c r="P185" s="244">
        <v>811.46</v>
      </c>
      <c r="Q185" s="244">
        <v>120.06999999999994</v>
      </c>
      <c r="R185" s="244">
        <v>931.53</v>
      </c>
    </row>
    <row r="186" spans="1:18" s="239" customFormat="1" ht="30" customHeight="1" x14ac:dyDescent="0.2">
      <c r="A186" s="159">
        <v>24</v>
      </c>
      <c r="B186" s="160"/>
      <c r="C186" s="161"/>
      <c r="D186" s="186" t="s">
        <v>398</v>
      </c>
      <c r="E186" s="246"/>
      <c r="F186" s="247"/>
      <c r="G186" s="247"/>
      <c r="H186" s="247"/>
      <c r="I186" s="247"/>
      <c r="J186" s="178">
        <f>SUM(J187:J187)</f>
        <v>0</v>
      </c>
      <c r="K186" s="163">
        <f>SUM(K187:K187)</f>
        <v>0</v>
      </c>
      <c r="L186" s="179">
        <f>SUM(L187:L187)</f>
        <v>0</v>
      </c>
      <c r="M186" s="164" t="e">
        <f>L186/$L$207</f>
        <v>#DIV/0!</v>
      </c>
      <c r="O186" s="244"/>
      <c r="P186" s="244">
        <v>2034.2500000000002</v>
      </c>
      <c r="Q186" s="244">
        <v>225.31999999999994</v>
      </c>
      <c r="R186" s="244">
        <v>2259.5700000000002</v>
      </c>
    </row>
    <row r="187" spans="1:18" s="238" customFormat="1" ht="51" x14ac:dyDescent="0.2">
      <c r="A187" s="25" t="s">
        <v>399</v>
      </c>
      <c r="B187" s="16" t="s">
        <v>508</v>
      </c>
      <c r="C187" s="17">
        <v>102491</v>
      </c>
      <c r="D187" s="18" t="s">
        <v>236</v>
      </c>
      <c r="E187" s="19" t="s">
        <v>36</v>
      </c>
      <c r="F187" s="20">
        <v>70.7</v>
      </c>
      <c r="G187" s="86"/>
      <c r="H187" s="63" t="s">
        <v>12</v>
      </c>
      <c r="I187" s="169">
        <f t="shared" ref="I187" si="86">TRUNC(G187*(1+HLOOKUP(H187,$F$6:$I$7,2,FALSE)),2)</f>
        <v>0</v>
      </c>
      <c r="J187" s="222">
        <f>IF(G187="",0,IF($L$7=0,P187,ROUND($R$7*L187,2)))</f>
        <v>0</v>
      </c>
      <c r="K187" s="86">
        <f t="shared" ref="K187" si="87">L187-J187</f>
        <v>0</v>
      </c>
      <c r="L187" s="223">
        <f t="shared" ref="L187" si="88">ROUND(F187*I187,2)</f>
        <v>0</v>
      </c>
      <c r="M187" s="102"/>
      <c r="O187" s="244">
        <v>25.57</v>
      </c>
      <c r="P187" s="244">
        <v>2034.2500000000002</v>
      </c>
      <c r="Q187" s="244">
        <v>225.31999999999994</v>
      </c>
      <c r="R187" s="244">
        <v>2259.5700000000002</v>
      </c>
    </row>
    <row r="188" spans="1:18" s="239" customFormat="1" ht="30" customHeight="1" x14ac:dyDescent="0.2">
      <c r="A188" s="159">
        <v>25</v>
      </c>
      <c r="B188" s="160"/>
      <c r="C188" s="161"/>
      <c r="D188" s="186" t="s">
        <v>400</v>
      </c>
      <c r="E188" s="246"/>
      <c r="F188" s="247"/>
      <c r="G188" s="247"/>
      <c r="H188" s="247"/>
      <c r="I188" s="247"/>
      <c r="J188" s="178">
        <f>SUM(J189:J190)</f>
        <v>0</v>
      </c>
      <c r="K188" s="163">
        <f>SUM(K189:K190)</f>
        <v>0</v>
      </c>
      <c r="L188" s="179">
        <f>SUM(L189:L190)</f>
        <v>0</v>
      </c>
      <c r="M188" s="164" t="e">
        <f>L188/$L$207</f>
        <v>#DIV/0!</v>
      </c>
      <c r="O188" s="244"/>
      <c r="P188" s="244">
        <v>1794.82</v>
      </c>
      <c r="Q188" s="244">
        <v>225.88</v>
      </c>
      <c r="R188" s="244">
        <v>2020.6999999999998</v>
      </c>
    </row>
    <row r="189" spans="1:18" s="238" customFormat="1" ht="25.5" x14ac:dyDescent="0.2">
      <c r="A189" s="25" t="s">
        <v>401</v>
      </c>
      <c r="B189" s="16" t="s">
        <v>508</v>
      </c>
      <c r="C189" s="17">
        <v>100717</v>
      </c>
      <c r="D189" s="18" t="s">
        <v>238</v>
      </c>
      <c r="E189" s="19" t="s">
        <v>36</v>
      </c>
      <c r="F189" s="20">
        <v>36.74</v>
      </c>
      <c r="G189" s="86"/>
      <c r="H189" s="63" t="s">
        <v>12</v>
      </c>
      <c r="I189" s="169">
        <f t="shared" ref="I189:I190" si="89">TRUNC(G189*(1+HLOOKUP(H189,$F$6:$I$7,2,FALSE)),2)</f>
        <v>0</v>
      </c>
      <c r="J189" s="222">
        <f>IF(G189="",0,IF($L$7=0,P189,ROUND($R$7*L189,2)))</f>
        <v>0</v>
      </c>
      <c r="K189" s="86">
        <f t="shared" ref="K189:K190" si="90">L189-J189</f>
        <v>0</v>
      </c>
      <c r="L189" s="223">
        <f t="shared" ref="L189:L190" si="91">ROUND(F189*I189,2)</f>
        <v>0</v>
      </c>
      <c r="M189" s="102"/>
      <c r="O189" s="244">
        <v>12.79</v>
      </c>
      <c r="P189" s="244">
        <v>508.54999999999995</v>
      </c>
      <c r="Q189" s="244">
        <v>78.560000000000059</v>
      </c>
      <c r="R189" s="244">
        <v>587.11</v>
      </c>
    </row>
    <row r="190" spans="1:18" s="238" customFormat="1" ht="63.75" x14ac:dyDescent="0.2">
      <c r="A190" s="25" t="s">
        <v>402</v>
      </c>
      <c r="B190" s="16" t="s">
        <v>508</v>
      </c>
      <c r="C190" s="17">
        <v>100741</v>
      </c>
      <c r="D190" s="18" t="s">
        <v>239</v>
      </c>
      <c r="E190" s="19" t="s">
        <v>36</v>
      </c>
      <c r="F190" s="20">
        <v>36.74</v>
      </c>
      <c r="G190" s="86"/>
      <c r="H190" s="63" t="s">
        <v>12</v>
      </c>
      <c r="I190" s="169">
        <f t="shared" si="89"/>
        <v>0</v>
      </c>
      <c r="J190" s="222">
        <f>IF(G190="",0,IF($L$7=0,P190,ROUND($R$7*L190,2)))</f>
        <v>0</v>
      </c>
      <c r="K190" s="86">
        <f t="shared" si="90"/>
        <v>0</v>
      </c>
      <c r="L190" s="223">
        <f t="shared" si="91"/>
        <v>0</v>
      </c>
      <c r="M190" s="102"/>
      <c r="O190" s="244">
        <v>31.22</v>
      </c>
      <c r="P190" s="244">
        <v>1286.27</v>
      </c>
      <c r="Q190" s="244">
        <v>147.31999999999994</v>
      </c>
      <c r="R190" s="244">
        <v>1433.59</v>
      </c>
    </row>
    <row r="191" spans="1:18" s="238" customFormat="1" ht="30" customHeight="1" x14ac:dyDescent="0.2">
      <c r="A191" s="159">
        <v>26</v>
      </c>
      <c r="B191" s="160"/>
      <c r="C191" s="161"/>
      <c r="D191" s="162" t="s">
        <v>242</v>
      </c>
      <c r="E191" s="246"/>
      <c r="F191" s="247"/>
      <c r="G191" s="247"/>
      <c r="H191" s="247"/>
      <c r="I191" s="247"/>
      <c r="J191" s="178">
        <f>SUM(J192:J203)</f>
        <v>0</v>
      </c>
      <c r="K191" s="163">
        <f>SUM(K192:K203)</f>
        <v>0</v>
      </c>
      <c r="L191" s="179">
        <f>SUM(L192:L203)</f>
        <v>0</v>
      </c>
      <c r="M191" s="164" t="e">
        <f>L191/$L$207</f>
        <v>#DIV/0!</v>
      </c>
      <c r="O191" s="244"/>
      <c r="P191" s="244">
        <v>44858.400000000001</v>
      </c>
      <c r="Q191" s="244">
        <v>6103.2600000000011</v>
      </c>
      <c r="R191" s="244">
        <v>50961.659999999996</v>
      </c>
    </row>
    <row r="192" spans="1:18" s="238" customFormat="1" ht="25.5" x14ac:dyDescent="0.2">
      <c r="A192" s="116" t="s">
        <v>403</v>
      </c>
      <c r="B192" s="88" t="s">
        <v>508</v>
      </c>
      <c r="C192" s="89">
        <v>105127</v>
      </c>
      <c r="D192" s="90" t="s">
        <v>244</v>
      </c>
      <c r="E192" s="91" t="s">
        <v>53</v>
      </c>
      <c r="F192" s="92">
        <v>27.05</v>
      </c>
      <c r="G192" s="86"/>
      <c r="H192" s="113" t="s">
        <v>12</v>
      </c>
      <c r="I192" s="172">
        <f t="shared" ref="I192:I193" si="92">TRUNC(G192*(1+HLOOKUP(H192,$F$6:$I$7,2,FALSE)),2)</f>
        <v>0</v>
      </c>
      <c r="J192" s="222">
        <f t="shared" ref="J192:J203" si="93">IF(G192="",0,IF($L$7=0,P192,ROUND($R$7*L192,2)))</f>
        <v>0</v>
      </c>
      <c r="K192" s="86">
        <f t="shared" ref="K192:K203" si="94">L192-J192</f>
        <v>0</v>
      </c>
      <c r="L192" s="223">
        <f t="shared" ref="L192:L203" si="95">ROUND(F192*I192,2)</f>
        <v>0</v>
      </c>
      <c r="M192" s="177"/>
      <c r="O192" s="244">
        <v>28.99</v>
      </c>
      <c r="P192" s="244">
        <v>874.47</v>
      </c>
      <c r="Q192" s="244">
        <v>105.54999999999995</v>
      </c>
      <c r="R192" s="244">
        <v>980.02</v>
      </c>
    </row>
    <row r="193" spans="1:18" s="238" customFormat="1" ht="38.25" x14ac:dyDescent="0.2">
      <c r="A193" s="103" t="s">
        <v>404</v>
      </c>
      <c r="B193" s="16" t="s">
        <v>150</v>
      </c>
      <c r="C193" s="101" t="s">
        <v>480</v>
      </c>
      <c r="D193" s="104" t="s">
        <v>503</v>
      </c>
      <c r="E193" s="105" t="s">
        <v>47</v>
      </c>
      <c r="F193" s="21">
        <v>1</v>
      </c>
      <c r="G193" s="86"/>
      <c r="H193" s="63" t="s">
        <v>12</v>
      </c>
      <c r="I193" s="170">
        <f t="shared" si="92"/>
        <v>0</v>
      </c>
      <c r="J193" s="222">
        <f t="shared" si="93"/>
        <v>0</v>
      </c>
      <c r="K193" s="86">
        <f t="shared" si="94"/>
        <v>0</v>
      </c>
      <c r="L193" s="223">
        <f t="shared" si="95"/>
        <v>0</v>
      </c>
      <c r="M193" s="174"/>
      <c r="O193" s="244">
        <v>8360.25</v>
      </c>
      <c r="P193" s="244">
        <v>6875.54</v>
      </c>
      <c r="Q193" s="244">
        <v>3574.7699999999995</v>
      </c>
      <c r="R193" s="244">
        <v>10450.31</v>
      </c>
    </row>
    <row r="194" spans="1:18" s="238" customFormat="1" ht="30" customHeight="1" x14ac:dyDescent="0.2">
      <c r="A194" s="25" t="s">
        <v>405</v>
      </c>
      <c r="B194" s="16" t="s">
        <v>510</v>
      </c>
      <c r="C194" s="17">
        <v>70140133</v>
      </c>
      <c r="D194" s="18" t="s">
        <v>140</v>
      </c>
      <c r="E194" s="19" t="s">
        <v>36</v>
      </c>
      <c r="F194" s="20">
        <v>0.38</v>
      </c>
      <c r="G194" s="86"/>
      <c r="H194" s="63" t="s">
        <v>13</v>
      </c>
      <c r="I194" s="169">
        <f>ROUND(G194*(1+HLOOKUP(H194,$F$6:$I$7,2,FALSE)),2)</f>
        <v>0</v>
      </c>
      <c r="J194" s="222">
        <f t="shared" si="93"/>
        <v>0</v>
      </c>
      <c r="K194" s="86">
        <f t="shared" si="94"/>
        <v>0</v>
      </c>
      <c r="L194" s="223">
        <f t="shared" si="95"/>
        <v>0</v>
      </c>
      <c r="M194" s="102"/>
      <c r="O194" s="244">
        <v>383.78</v>
      </c>
      <c r="P194" s="244">
        <v>149.66</v>
      </c>
      <c r="Q194" s="244">
        <v>16.620000000000005</v>
      </c>
      <c r="R194" s="244">
        <v>166.28</v>
      </c>
    </row>
    <row r="195" spans="1:18" s="238" customFormat="1" ht="63.75" x14ac:dyDescent="0.2">
      <c r="A195" s="25" t="s">
        <v>406</v>
      </c>
      <c r="B195" s="16" t="s">
        <v>510</v>
      </c>
      <c r="C195" s="101">
        <v>70110090</v>
      </c>
      <c r="D195" s="104" t="s">
        <v>249</v>
      </c>
      <c r="E195" s="105" t="s">
        <v>36</v>
      </c>
      <c r="F195" s="21">
        <v>3.54</v>
      </c>
      <c r="G195" s="86"/>
      <c r="H195" s="63" t="s">
        <v>13</v>
      </c>
      <c r="I195" s="170">
        <f>TRUNC(G195*(1+HLOOKUP(H195,$F$6:$I$7,2,FALSE)),2)</f>
        <v>0</v>
      </c>
      <c r="J195" s="222">
        <f t="shared" si="93"/>
        <v>0</v>
      </c>
      <c r="K195" s="86">
        <f t="shared" si="94"/>
        <v>0</v>
      </c>
      <c r="L195" s="223">
        <f t="shared" si="95"/>
        <v>0</v>
      </c>
      <c r="M195" s="174"/>
      <c r="O195" s="244">
        <v>1623.9</v>
      </c>
      <c r="P195" s="244">
        <v>6414.59</v>
      </c>
      <c r="Q195" s="244">
        <v>139.97000000000025</v>
      </c>
      <c r="R195" s="244">
        <v>6554.56</v>
      </c>
    </row>
    <row r="196" spans="1:18" s="238" customFormat="1" ht="63.75" x14ac:dyDescent="0.2">
      <c r="A196" s="25" t="s">
        <v>407</v>
      </c>
      <c r="B196" s="16" t="s">
        <v>510</v>
      </c>
      <c r="C196" s="101">
        <v>70110090</v>
      </c>
      <c r="D196" s="104" t="s">
        <v>250</v>
      </c>
      <c r="E196" s="105" t="s">
        <v>36</v>
      </c>
      <c r="F196" s="21">
        <v>1.6</v>
      </c>
      <c r="G196" s="86"/>
      <c r="H196" s="63" t="s">
        <v>12</v>
      </c>
      <c r="I196" s="170">
        <f>TRUNC(G196*(1+HLOOKUP(H196,$F$6:$I$7,2,FALSE)),2)</f>
        <v>0</v>
      </c>
      <c r="J196" s="222">
        <f t="shared" si="93"/>
        <v>0</v>
      </c>
      <c r="K196" s="86">
        <f t="shared" si="94"/>
        <v>0</v>
      </c>
      <c r="L196" s="223">
        <f t="shared" si="95"/>
        <v>0</v>
      </c>
      <c r="M196" s="174"/>
      <c r="O196" s="244">
        <v>1623.9</v>
      </c>
      <c r="P196" s="244">
        <v>3178.45</v>
      </c>
      <c r="Q196" s="244">
        <v>69.340000000000146</v>
      </c>
      <c r="R196" s="244">
        <v>3247.79</v>
      </c>
    </row>
    <row r="197" spans="1:18" s="238" customFormat="1" ht="25.5" x14ac:dyDescent="0.2">
      <c r="A197" s="25" t="s">
        <v>408</v>
      </c>
      <c r="B197" s="16" t="s">
        <v>509</v>
      </c>
      <c r="C197" s="17" t="s">
        <v>223</v>
      </c>
      <c r="D197" s="18" t="s">
        <v>251</v>
      </c>
      <c r="E197" s="19" t="s">
        <v>36</v>
      </c>
      <c r="F197" s="20">
        <v>21.09</v>
      </c>
      <c r="G197" s="86"/>
      <c r="H197" s="63" t="s">
        <v>12</v>
      </c>
      <c r="I197" s="169">
        <f t="shared" ref="I197:I203" si="96">TRUNC(G197*(1+HLOOKUP(H197,$F$6:$I$7,2,FALSE)),2)</f>
        <v>0</v>
      </c>
      <c r="J197" s="222">
        <f t="shared" si="93"/>
        <v>0</v>
      </c>
      <c r="K197" s="86">
        <f t="shared" si="94"/>
        <v>0</v>
      </c>
      <c r="L197" s="223">
        <f t="shared" si="95"/>
        <v>0</v>
      </c>
      <c r="M197" s="102"/>
      <c r="O197" s="244">
        <v>15.29</v>
      </c>
      <c r="P197" s="244">
        <v>345.83</v>
      </c>
      <c r="Q197" s="244">
        <v>57.199999999999989</v>
      </c>
      <c r="R197" s="244">
        <v>403.03</v>
      </c>
    </row>
    <row r="198" spans="1:18" s="238" customFormat="1" ht="38.25" x14ac:dyDescent="0.2">
      <c r="A198" s="25" t="s">
        <v>409</v>
      </c>
      <c r="B198" s="16" t="s">
        <v>508</v>
      </c>
      <c r="C198" s="17">
        <v>88485</v>
      </c>
      <c r="D198" s="18" t="s">
        <v>252</v>
      </c>
      <c r="E198" s="19" t="s">
        <v>36</v>
      </c>
      <c r="F198" s="20">
        <v>21.09</v>
      </c>
      <c r="G198" s="86"/>
      <c r="H198" s="63" t="s">
        <v>12</v>
      </c>
      <c r="I198" s="169">
        <f t="shared" si="96"/>
        <v>0</v>
      </c>
      <c r="J198" s="222">
        <f t="shared" si="93"/>
        <v>0</v>
      </c>
      <c r="K198" s="86">
        <f t="shared" si="94"/>
        <v>0</v>
      </c>
      <c r="L198" s="223">
        <f t="shared" si="95"/>
        <v>0</v>
      </c>
      <c r="M198" s="102"/>
      <c r="O198" s="244">
        <v>5.17</v>
      </c>
      <c r="P198" s="244">
        <v>123.94</v>
      </c>
      <c r="Q198" s="244">
        <v>12.300000000000011</v>
      </c>
      <c r="R198" s="244">
        <v>136.24</v>
      </c>
    </row>
    <row r="199" spans="1:18" s="238" customFormat="1" ht="38.25" x14ac:dyDescent="0.2">
      <c r="A199" s="25" t="s">
        <v>410</v>
      </c>
      <c r="B199" s="16" t="s">
        <v>508</v>
      </c>
      <c r="C199" s="17">
        <v>95305</v>
      </c>
      <c r="D199" s="18" t="s">
        <v>253</v>
      </c>
      <c r="E199" s="19" t="s">
        <v>36</v>
      </c>
      <c r="F199" s="20">
        <v>21.09</v>
      </c>
      <c r="G199" s="86"/>
      <c r="H199" s="63" t="s">
        <v>12</v>
      </c>
      <c r="I199" s="169">
        <f t="shared" si="96"/>
        <v>0</v>
      </c>
      <c r="J199" s="222">
        <f t="shared" si="93"/>
        <v>0</v>
      </c>
      <c r="K199" s="86">
        <f t="shared" si="94"/>
        <v>0</v>
      </c>
      <c r="L199" s="223">
        <f t="shared" si="95"/>
        <v>0</v>
      </c>
      <c r="M199" s="174"/>
      <c r="O199" s="244">
        <v>16.149999999999999</v>
      </c>
      <c r="P199" s="244">
        <v>384.92999999999995</v>
      </c>
      <c r="Q199" s="244">
        <v>40.670000000000073</v>
      </c>
      <c r="R199" s="244">
        <v>425.6</v>
      </c>
    </row>
    <row r="200" spans="1:18" s="238" customFormat="1" ht="51" x14ac:dyDescent="0.2">
      <c r="A200" s="25" t="s">
        <v>411</v>
      </c>
      <c r="B200" s="16" t="s">
        <v>508</v>
      </c>
      <c r="C200" s="17">
        <v>104801</v>
      </c>
      <c r="D200" s="18" t="s">
        <v>254</v>
      </c>
      <c r="E200" s="19" t="s">
        <v>36</v>
      </c>
      <c r="F200" s="20">
        <v>30.23</v>
      </c>
      <c r="G200" s="86"/>
      <c r="H200" s="63" t="s">
        <v>12</v>
      </c>
      <c r="I200" s="169">
        <f t="shared" si="96"/>
        <v>0</v>
      </c>
      <c r="J200" s="222">
        <f t="shared" si="93"/>
        <v>0</v>
      </c>
      <c r="K200" s="86">
        <f t="shared" si="94"/>
        <v>0</v>
      </c>
      <c r="L200" s="223">
        <f t="shared" si="95"/>
        <v>0</v>
      </c>
      <c r="M200" s="174"/>
      <c r="O200" s="244">
        <v>20.420000000000002</v>
      </c>
      <c r="P200" s="244">
        <v>664.1099999999999</v>
      </c>
      <c r="Q200" s="244">
        <v>107.36000000000013</v>
      </c>
      <c r="R200" s="244">
        <v>771.47</v>
      </c>
    </row>
    <row r="201" spans="1:18" s="238" customFormat="1" ht="25.5" x14ac:dyDescent="0.2">
      <c r="A201" s="25" t="s">
        <v>412</v>
      </c>
      <c r="B201" s="16" t="s">
        <v>509</v>
      </c>
      <c r="C201" s="17" t="s">
        <v>255</v>
      </c>
      <c r="D201" s="18" t="s">
        <v>256</v>
      </c>
      <c r="E201" s="19" t="s">
        <v>36</v>
      </c>
      <c r="F201" s="20">
        <v>36.270000000000003</v>
      </c>
      <c r="G201" s="86"/>
      <c r="H201" s="63" t="s">
        <v>12</v>
      </c>
      <c r="I201" s="169">
        <f t="shared" si="96"/>
        <v>0</v>
      </c>
      <c r="J201" s="222">
        <f t="shared" si="93"/>
        <v>0</v>
      </c>
      <c r="K201" s="86">
        <f t="shared" si="94"/>
        <v>0</v>
      </c>
      <c r="L201" s="223">
        <f t="shared" si="95"/>
        <v>0</v>
      </c>
      <c r="M201" s="174"/>
      <c r="O201" s="244">
        <v>582.85</v>
      </c>
      <c r="P201" s="244">
        <v>24512.28</v>
      </c>
      <c r="Q201" s="244">
        <v>1912.5900000000001</v>
      </c>
      <c r="R201" s="244">
        <v>26424.87</v>
      </c>
    </row>
    <row r="202" spans="1:18" s="238" customFormat="1" ht="51" x14ac:dyDescent="0.2">
      <c r="A202" s="25" t="s">
        <v>413</v>
      </c>
      <c r="B202" s="16" t="s">
        <v>508</v>
      </c>
      <c r="C202" s="17">
        <v>100719</v>
      </c>
      <c r="D202" s="18" t="s">
        <v>257</v>
      </c>
      <c r="E202" s="19" t="s">
        <v>36</v>
      </c>
      <c r="F202" s="20">
        <v>36.270000000000003</v>
      </c>
      <c r="G202" s="86"/>
      <c r="H202" s="63" t="s">
        <v>12</v>
      </c>
      <c r="I202" s="169">
        <f t="shared" si="96"/>
        <v>0</v>
      </c>
      <c r="J202" s="222">
        <f t="shared" si="93"/>
        <v>0</v>
      </c>
      <c r="K202" s="86">
        <f t="shared" si="94"/>
        <v>0</v>
      </c>
      <c r="L202" s="223">
        <f t="shared" si="95"/>
        <v>0</v>
      </c>
      <c r="M202" s="174"/>
      <c r="O202" s="244">
        <v>12.65</v>
      </c>
      <c r="P202" s="244">
        <v>546.76</v>
      </c>
      <c r="Q202" s="244">
        <v>26.669999999999959</v>
      </c>
      <c r="R202" s="244">
        <v>573.42999999999995</v>
      </c>
    </row>
    <row r="203" spans="1:18" s="238" customFormat="1" ht="51" x14ac:dyDescent="0.2">
      <c r="A203" s="25" t="s">
        <v>414</v>
      </c>
      <c r="B203" s="16" t="s">
        <v>508</v>
      </c>
      <c r="C203" s="17">
        <v>100747</v>
      </c>
      <c r="D203" s="18" t="s">
        <v>258</v>
      </c>
      <c r="E203" s="19" t="s">
        <v>36</v>
      </c>
      <c r="F203" s="20">
        <v>53.77</v>
      </c>
      <c r="G203" s="86"/>
      <c r="H203" s="63" t="s">
        <v>12</v>
      </c>
      <c r="I203" s="169">
        <f t="shared" si="96"/>
        <v>0</v>
      </c>
      <c r="J203" s="222">
        <f t="shared" si="93"/>
        <v>0</v>
      </c>
      <c r="K203" s="86">
        <f t="shared" si="94"/>
        <v>0</v>
      </c>
      <c r="L203" s="223">
        <f t="shared" si="95"/>
        <v>0</v>
      </c>
      <c r="M203" s="174"/>
      <c r="O203" s="244">
        <v>12.32</v>
      </c>
      <c r="P203" s="244">
        <v>787.84</v>
      </c>
      <c r="Q203" s="244">
        <v>40.219999999999914</v>
      </c>
      <c r="R203" s="244">
        <v>828.06</v>
      </c>
    </row>
    <row r="204" spans="1:18" s="238" customFormat="1" ht="30" customHeight="1" x14ac:dyDescent="0.2">
      <c r="A204" s="159">
        <v>27</v>
      </c>
      <c r="B204" s="160"/>
      <c r="C204" s="161"/>
      <c r="D204" s="186" t="s">
        <v>479</v>
      </c>
      <c r="E204" s="246"/>
      <c r="F204" s="247"/>
      <c r="G204" s="247"/>
      <c r="H204" s="247"/>
      <c r="I204" s="247"/>
      <c r="J204" s="178">
        <f>SUM(J205:J206)</f>
        <v>0</v>
      </c>
      <c r="K204" s="163">
        <f>SUM(K205:K206)</f>
        <v>0</v>
      </c>
      <c r="L204" s="179">
        <f>SUM(L205:L206)</f>
        <v>0</v>
      </c>
      <c r="M204" s="164" t="e">
        <f>L204/$L$207</f>
        <v>#DIV/0!</v>
      </c>
      <c r="O204" s="244"/>
      <c r="P204" s="244">
        <v>20053.22</v>
      </c>
      <c r="Q204" s="244">
        <v>3689.0099999999993</v>
      </c>
      <c r="R204" s="244">
        <v>23742.23</v>
      </c>
    </row>
    <row r="205" spans="1:18" s="238" customFormat="1" ht="63.75" x14ac:dyDescent="0.2">
      <c r="A205" s="224" t="s">
        <v>476</v>
      </c>
      <c r="B205" s="16" t="s">
        <v>139</v>
      </c>
      <c r="C205" s="225" t="s">
        <v>427</v>
      </c>
      <c r="D205" s="226" t="s">
        <v>506</v>
      </c>
      <c r="E205" s="227" t="s">
        <v>478</v>
      </c>
      <c r="F205" s="93">
        <v>1</v>
      </c>
      <c r="G205" s="86"/>
      <c r="H205" s="113" t="s">
        <v>12</v>
      </c>
      <c r="I205" s="228">
        <f t="shared" ref="I205:I206" si="97">TRUNC(G205*(1+HLOOKUP(H205,$F$6:$I$7,2,FALSE)),2)</f>
        <v>0</v>
      </c>
      <c r="J205" s="222">
        <f>IF(G205="",0,IF($L$7=0,P205,ROUND($R$7*L205,2)))</f>
        <v>0</v>
      </c>
      <c r="K205" s="86">
        <f t="shared" ref="K205:K206" si="98">L205-J205</f>
        <v>0</v>
      </c>
      <c r="L205" s="223">
        <f t="shared" ref="L205:L206" si="99">ROUND(F205*I205,2)</f>
        <v>0</v>
      </c>
      <c r="M205" s="229"/>
      <c r="O205" s="244">
        <v>15658.57</v>
      </c>
      <c r="P205" s="244">
        <v>16425.77</v>
      </c>
      <c r="Q205" s="244">
        <v>3147.4399999999987</v>
      </c>
      <c r="R205" s="244">
        <v>19573.21</v>
      </c>
    </row>
    <row r="206" spans="1:18" s="238" customFormat="1" ht="38.25" x14ac:dyDescent="0.2">
      <c r="A206" s="103" t="s">
        <v>477</v>
      </c>
      <c r="B206" s="16" t="s">
        <v>139</v>
      </c>
      <c r="C206" s="101" t="s">
        <v>429</v>
      </c>
      <c r="D206" s="104" t="s">
        <v>507</v>
      </c>
      <c r="E206" s="105" t="s">
        <v>478</v>
      </c>
      <c r="F206" s="21">
        <v>1</v>
      </c>
      <c r="G206" s="86"/>
      <c r="H206" s="63" t="s">
        <v>12</v>
      </c>
      <c r="I206" s="170">
        <f t="shared" si="97"/>
        <v>0</v>
      </c>
      <c r="J206" s="222">
        <f>IF(G206="",0,IF($L$7=0,P206,ROUND($R$7*L206,2)))</f>
        <v>0</v>
      </c>
      <c r="K206" s="86">
        <f t="shared" si="98"/>
        <v>0</v>
      </c>
      <c r="L206" s="223">
        <f t="shared" si="99"/>
        <v>0</v>
      </c>
      <c r="M206" s="174"/>
      <c r="O206" s="244">
        <v>3335.22</v>
      </c>
      <c r="P206" s="244">
        <v>3627.45</v>
      </c>
      <c r="Q206" s="244">
        <v>541.57000000000062</v>
      </c>
      <c r="R206" s="244">
        <v>4169.0200000000004</v>
      </c>
    </row>
    <row r="207" spans="1:18" s="241" customFormat="1" ht="30" customHeight="1" thickBot="1" x14ac:dyDescent="0.25">
      <c r="A207" s="302" t="s">
        <v>259</v>
      </c>
      <c r="B207" s="303"/>
      <c r="C207" s="303"/>
      <c r="D207" s="303"/>
      <c r="E207" s="303"/>
      <c r="F207" s="303"/>
      <c r="G207" s="303"/>
      <c r="H207" s="303"/>
      <c r="I207" s="303"/>
      <c r="J207" s="182">
        <f>SUM(J10:J206)/2</f>
        <v>0</v>
      </c>
      <c r="K207" s="183">
        <f>SUM(K10:K206)/2</f>
        <v>0</v>
      </c>
      <c r="L207" s="180">
        <f>ROUND(SUM(L10:L206)/2,2)</f>
        <v>0</v>
      </c>
      <c r="M207" s="167" t="e">
        <f>L207/$L$207</f>
        <v>#DIV/0!</v>
      </c>
      <c r="O207" s="244"/>
      <c r="P207" s="244"/>
      <c r="Q207" s="244"/>
      <c r="R207" s="244"/>
    </row>
    <row r="208" spans="1:18" s="238" customFormat="1" x14ac:dyDescent="0.2">
      <c r="A208" s="181"/>
      <c r="B208" s="94"/>
      <c r="C208" s="106"/>
      <c r="D208" s="111"/>
      <c r="E208" s="106"/>
      <c r="F208" s="106"/>
      <c r="G208" s="106"/>
      <c r="H208" s="106"/>
      <c r="I208" s="106"/>
      <c r="J208" s="279" t="e">
        <f>J207/L207</f>
        <v>#DIV/0!</v>
      </c>
      <c r="K208" s="279" t="e">
        <f>K207/L207</f>
        <v>#DIV/0!</v>
      </c>
      <c r="L208" s="279" t="e">
        <f>J208+K208</f>
        <v>#DIV/0!</v>
      </c>
      <c r="M208" s="106"/>
      <c r="O208" s="244"/>
      <c r="P208" s="244">
        <v>610310.92000000004</v>
      </c>
      <c r="Q208" s="244">
        <f>SUM(Q10:Q206)/2</f>
        <v>119602.30000000008</v>
      </c>
      <c r="R208" s="244">
        <v>729913.22</v>
      </c>
    </row>
    <row r="209" spans="1:19" s="238" customFormat="1" x14ac:dyDescent="0.2">
      <c r="A209" s="185"/>
      <c r="B209" s="94"/>
      <c r="C209" s="106"/>
      <c r="D209" s="111"/>
      <c r="E209" s="106"/>
      <c r="F209" s="106"/>
      <c r="G209" s="106"/>
      <c r="H209" s="106"/>
      <c r="I209" s="106"/>
      <c r="J209" s="280"/>
      <c r="K209" s="281"/>
      <c r="L209" s="280"/>
      <c r="M209" s="106"/>
      <c r="O209" s="244"/>
      <c r="P209" s="273">
        <f t="shared" ref="P209:Q209" si="100">P208*(1-$L$7)</f>
        <v>610310.92000000004</v>
      </c>
      <c r="Q209" s="273">
        <f t="shared" si="100"/>
        <v>119602.30000000008</v>
      </c>
      <c r="R209" s="273">
        <f>R208*(1-$L$7)</f>
        <v>729913.22</v>
      </c>
      <c r="S209" s="274" t="s">
        <v>544</v>
      </c>
    </row>
    <row r="210" spans="1:19" s="238" customFormat="1" x14ac:dyDescent="0.2">
      <c r="A210" s="304" t="s">
        <v>515</v>
      </c>
      <c r="B210" s="304"/>
      <c r="C210" s="304"/>
      <c r="D210" s="304"/>
      <c r="E210" s="304"/>
      <c r="F210" s="304"/>
      <c r="G210" s="304"/>
      <c r="H210" s="304"/>
      <c r="I210" s="304"/>
      <c r="J210" s="304"/>
      <c r="K210" s="304"/>
      <c r="L210" s="304"/>
      <c r="M210" s="304"/>
      <c r="O210" s="244"/>
      <c r="P210" s="277">
        <f t="shared" ref="P210:Q210" si="101">J207</f>
        <v>0</v>
      </c>
      <c r="Q210" s="277">
        <f t="shared" si="101"/>
        <v>0</v>
      </c>
      <c r="R210" s="277">
        <f>L207</f>
        <v>0</v>
      </c>
      <c r="S210" s="274" t="s">
        <v>545</v>
      </c>
    </row>
    <row r="211" spans="1:19" x14ac:dyDescent="0.2">
      <c r="P211" s="275">
        <f t="shared" ref="P211:Q211" si="102">P209-P210</f>
        <v>610310.92000000004</v>
      </c>
      <c r="Q211" s="275">
        <f t="shared" si="102"/>
        <v>119602.30000000008</v>
      </c>
      <c r="R211" s="275">
        <f>R209-R210</f>
        <v>729913.22</v>
      </c>
      <c r="S211" s="276" t="s">
        <v>547</v>
      </c>
    </row>
    <row r="212" spans="1:19" x14ac:dyDescent="0.2">
      <c r="B212" s="195"/>
      <c r="I212" s="195" t="s">
        <v>516</v>
      </c>
      <c r="P212" s="278" t="s">
        <v>548</v>
      </c>
    </row>
    <row r="217" spans="1:19" x14ac:dyDescent="0.2">
      <c r="B217" s="195"/>
      <c r="I217" s="232" t="s">
        <v>517</v>
      </c>
    </row>
    <row r="218" spans="1:19" x14ac:dyDescent="0.2">
      <c r="B218" s="184"/>
      <c r="I218" s="248" t="s">
        <v>518</v>
      </c>
    </row>
    <row r="219" spans="1:19" x14ac:dyDescent="0.2">
      <c r="I219" s="249" t="s">
        <v>519</v>
      </c>
    </row>
    <row r="220" spans="1:19" x14ac:dyDescent="0.2">
      <c r="I220" s="233" t="s">
        <v>520</v>
      </c>
    </row>
    <row r="221" spans="1:19" x14ac:dyDescent="0.2">
      <c r="I221" s="233"/>
    </row>
    <row r="222" spans="1:19" ht="33.75" customHeight="1" x14ac:dyDescent="0.2">
      <c r="A222" s="288" t="s">
        <v>541</v>
      </c>
      <c r="B222" s="288"/>
      <c r="C222" s="288"/>
      <c r="D222" s="288"/>
      <c r="E222" s="288"/>
      <c r="F222" s="288"/>
      <c r="G222" s="288"/>
      <c r="H222" s="288"/>
      <c r="I222" s="288"/>
      <c r="J222" s="288"/>
      <c r="K222" s="288"/>
      <c r="L222" s="288"/>
      <c r="M222" s="288"/>
    </row>
    <row r="223" spans="1:19" x14ac:dyDescent="0.2">
      <c r="A223" s="284" t="s">
        <v>521</v>
      </c>
      <c r="B223" s="269"/>
      <c r="C223" s="269"/>
      <c r="D223" s="270"/>
      <c r="E223" s="269"/>
      <c r="F223" s="269"/>
      <c r="G223" s="269"/>
      <c r="H223" s="269"/>
      <c r="I223" s="269"/>
      <c r="J223" s="269"/>
      <c r="K223" s="269"/>
      <c r="L223" s="269"/>
      <c r="M223" s="269"/>
    </row>
    <row r="224" spans="1:19" ht="15" customHeight="1" x14ac:dyDescent="0.2">
      <c r="A224" s="285" t="s">
        <v>31</v>
      </c>
      <c r="B224" s="287" t="s">
        <v>522</v>
      </c>
      <c r="C224" s="287"/>
      <c r="D224" s="287"/>
      <c r="E224" s="287"/>
      <c r="F224" s="287"/>
      <c r="G224" s="287"/>
      <c r="H224" s="287"/>
      <c r="I224" s="287"/>
      <c r="J224" s="287"/>
      <c r="K224" s="287"/>
      <c r="L224" s="287"/>
      <c r="M224" s="287"/>
    </row>
    <row r="225" spans="1:13" ht="30" customHeight="1" x14ac:dyDescent="0.2">
      <c r="A225" s="285" t="s">
        <v>48</v>
      </c>
      <c r="B225" s="287" t="s">
        <v>523</v>
      </c>
      <c r="C225" s="287"/>
      <c r="D225" s="287"/>
      <c r="E225" s="287"/>
      <c r="F225" s="287"/>
      <c r="G225" s="287"/>
      <c r="H225" s="287"/>
      <c r="I225" s="287"/>
      <c r="J225" s="287"/>
      <c r="K225" s="287"/>
      <c r="L225" s="287"/>
      <c r="M225" s="287"/>
    </row>
    <row r="226" spans="1:13" ht="45" customHeight="1" x14ac:dyDescent="0.2">
      <c r="A226" s="285" t="s">
        <v>82</v>
      </c>
      <c r="B226" s="287" t="s">
        <v>526</v>
      </c>
      <c r="C226" s="287"/>
      <c r="D226" s="287"/>
      <c r="E226" s="287"/>
      <c r="F226" s="287"/>
      <c r="G226" s="287"/>
      <c r="H226" s="287"/>
      <c r="I226" s="287"/>
      <c r="J226" s="287"/>
      <c r="K226" s="287"/>
      <c r="L226" s="287"/>
      <c r="M226" s="287"/>
    </row>
    <row r="227" spans="1:13" ht="60" customHeight="1" x14ac:dyDescent="0.2">
      <c r="A227" s="285" t="s">
        <v>90</v>
      </c>
      <c r="B227" s="287" t="s">
        <v>527</v>
      </c>
      <c r="C227" s="287"/>
      <c r="D227" s="287"/>
      <c r="E227" s="287"/>
      <c r="F227" s="287"/>
      <c r="G227" s="287"/>
      <c r="H227" s="287"/>
      <c r="I227" s="287"/>
      <c r="J227" s="287"/>
      <c r="K227" s="287"/>
      <c r="L227" s="287"/>
      <c r="M227" s="287"/>
    </row>
    <row r="228" spans="1:13" ht="15" customHeight="1" x14ac:dyDescent="0.2">
      <c r="A228" s="285" t="s">
        <v>146</v>
      </c>
      <c r="B228" s="287" t="s">
        <v>528</v>
      </c>
      <c r="C228" s="287"/>
      <c r="D228" s="287"/>
      <c r="E228" s="287"/>
      <c r="F228" s="287"/>
      <c r="G228" s="287"/>
      <c r="H228" s="287"/>
      <c r="I228" s="287"/>
      <c r="J228" s="287"/>
      <c r="K228" s="287"/>
      <c r="L228" s="287"/>
      <c r="M228" s="287"/>
    </row>
    <row r="229" spans="1:13" ht="60" customHeight="1" x14ac:dyDescent="0.2">
      <c r="A229" s="285" t="s">
        <v>158</v>
      </c>
      <c r="B229" s="287" t="s">
        <v>529</v>
      </c>
      <c r="C229" s="287"/>
      <c r="D229" s="287"/>
      <c r="E229" s="287"/>
      <c r="F229" s="287"/>
      <c r="G229" s="287"/>
      <c r="H229" s="287"/>
      <c r="I229" s="287"/>
      <c r="J229" s="287"/>
      <c r="K229" s="287"/>
      <c r="L229" s="287"/>
      <c r="M229" s="287"/>
    </row>
    <row r="230" spans="1:13" ht="45" customHeight="1" x14ac:dyDescent="0.2">
      <c r="A230" s="285" t="s">
        <v>204</v>
      </c>
      <c r="B230" s="287" t="s">
        <v>530</v>
      </c>
      <c r="C230" s="287"/>
      <c r="D230" s="287"/>
      <c r="E230" s="287"/>
      <c r="F230" s="287"/>
      <c r="G230" s="287"/>
      <c r="H230" s="287"/>
      <c r="I230" s="287"/>
      <c r="J230" s="287"/>
      <c r="K230" s="287"/>
      <c r="L230" s="287"/>
      <c r="M230" s="287"/>
    </row>
    <row r="231" spans="1:13" ht="15" customHeight="1" x14ac:dyDescent="0.2">
      <c r="A231" s="285" t="s">
        <v>228</v>
      </c>
      <c r="B231" s="287" t="s">
        <v>531</v>
      </c>
      <c r="C231" s="287"/>
      <c r="D231" s="287"/>
      <c r="E231" s="287"/>
      <c r="F231" s="287"/>
      <c r="G231" s="287"/>
      <c r="H231" s="287"/>
      <c r="I231" s="287"/>
      <c r="J231" s="287"/>
      <c r="K231" s="287"/>
      <c r="L231" s="287"/>
      <c r="M231" s="287"/>
    </row>
    <row r="232" spans="1:13" ht="15" customHeight="1" x14ac:dyDescent="0.2">
      <c r="A232" s="286" t="s">
        <v>524</v>
      </c>
      <c r="B232" s="271"/>
      <c r="C232" s="271"/>
      <c r="D232" s="271"/>
      <c r="E232" s="271"/>
      <c r="F232" s="271"/>
      <c r="G232" s="271"/>
      <c r="H232" s="271"/>
      <c r="I232" s="271"/>
      <c r="J232" s="271"/>
      <c r="K232" s="271"/>
      <c r="L232" s="271"/>
      <c r="M232" s="271"/>
    </row>
    <row r="233" spans="1:13" ht="15" customHeight="1" x14ac:dyDescent="0.2">
      <c r="A233" s="287" t="s">
        <v>525</v>
      </c>
      <c r="B233" s="287"/>
      <c r="C233" s="287"/>
      <c r="D233" s="287"/>
      <c r="E233" s="287"/>
      <c r="F233" s="287"/>
      <c r="G233" s="287"/>
      <c r="H233" s="287"/>
      <c r="I233" s="287"/>
      <c r="J233" s="287"/>
      <c r="K233" s="287"/>
      <c r="L233" s="287"/>
      <c r="M233" s="287"/>
    </row>
    <row r="234" spans="1:13" x14ac:dyDescent="0.2">
      <c r="A234" s="250"/>
      <c r="B234" s="250"/>
      <c r="C234" s="250"/>
      <c r="D234" s="251"/>
      <c r="E234" s="250"/>
      <c r="F234" s="250"/>
      <c r="G234" s="250"/>
      <c r="H234" s="250"/>
      <c r="I234" s="250"/>
      <c r="J234" s="250"/>
      <c r="K234" s="250"/>
      <c r="L234" s="250"/>
      <c r="M234" s="250"/>
    </row>
    <row r="235" spans="1:13" x14ac:dyDescent="0.2">
      <c r="A235" s="250"/>
      <c r="B235" s="250"/>
      <c r="C235" s="250"/>
      <c r="D235" s="251"/>
      <c r="E235" s="250"/>
      <c r="F235" s="250"/>
      <c r="G235" s="242"/>
      <c r="H235" s="242"/>
      <c r="I235" s="242"/>
      <c r="J235" s="242"/>
      <c r="K235" s="242"/>
      <c r="L235" s="242"/>
      <c r="M235" s="242"/>
    </row>
  </sheetData>
  <mergeCells count="21">
    <mergeCell ref="A7:E7"/>
    <mergeCell ref="J7:K7"/>
    <mergeCell ref="L7:M7"/>
    <mergeCell ref="A207:I207"/>
    <mergeCell ref="A210:M210"/>
    <mergeCell ref="A4:E4"/>
    <mergeCell ref="J6:K6"/>
    <mergeCell ref="L6:M6"/>
    <mergeCell ref="A1:C1"/>
    <mergeCell ref="D1:I1"/>
    <mergeCell ref="J1:M1"/>
    <mergeCell ref="A222:M222"/>
    <mergeCell ref="B224:M224"/>
    <mergeCell ref="B225:M225"/>
    <mergeCell ref="B226:M226"/>
    <mergeCell ref="B227:M227"/>
    <mergeCell ref="B229:M229"/>
    <mergeCell ref="B230:M230"/>
    <mergeCell ref="A233:M233"/>
    <mergeCell ref="B228:M228"/>
    <mergeCell ref="B231:M231"/>
  </mergeCells>
  <conditionalFormatting sqref="G11:G206">
    <cfRule type="expression" dxfId="37" priority="65">
      <formula>G11&gt;O11</formula>
    </cfRule>
  </conditionalFormatting>
  <conditionalFormatting sqref="K11">
    <cfRule type="expression" dxfId="36" priority="63">
      <formula>K11&lt;0</formula>
    </cfRule>
  </conditionalFormatting>
  <conditionalFormatting sqref="K180:K181">
    <cfRule type="expression" dxfId="35" priority="6">
      <formula>K180&lt;0</formula>
    </cfRule>
  </conditionalFormatting>
  <conditionalFormatting sqref="K12:K15">
    <cfRule type="expression" dxfId="34" priority="27">
      <formula>K12&lt;0</formula>
    </cfRule>
  </conditionalFormatting>
  <conditionalFormatting sqref="K17:K25">
    <cfRule type="expression" dxfId="33" priority="26">
      <formula>K17&lt;0</formula>
    </cfRule>
  </conditionalFormatting>
  <conditionalFormatting sqref="K27:K36">
    <cfRule type="expression" dxfId="32" priority="25">
      <formula>K27&lt;0</formula>
    </cfRule>
  </conditionalFormatting>
  <conditionalFormatting sqref="K38:K46">
    <cfRule type="expression" dxfId="31" priority="24">
      <formula>K38&lt;0</formula>
    </cfRule>
  </conditionalFormatting>
  <conditionalFormatting sqref="K48:K50">
    <cfRule type="expression" dxfId="30" priority="23">
      <formula>K48&lt;0</formula>
    </cfRule>
  </conditionalFormatting>
  <conditionalFormatting sqref="K52:K54">
    <cfRule type="expression" dxfId="29" priority="22">
      <formula>K52&lt;0</formula>
    </cfRule>
  </conditionalFormatting>
  <conditionalFormatting sqref="K56:K71">
    <cfRule type="expression" dxfId="28" priority="21">
      <formula>K56&lt;0</formula>
    </cfRule>
  </conditionalFormatting>
  <conditionalFormatting sqref="K73:K84">
    <cfRule type="expression" dxfId="27" priority="20">
      <formula>K73&lt;0</formula>
    </cfRule>
  </conditionalFormatting>
  <conditionalFormatting sqref="K86:K89">
    <cfRule type="expression" dxfId="26" priority="19">
      <formula>K86&lt;0</formula>
    </cfRule>
  </conditionalFormatting>
  <conditionalFormatting sqref="K91:K94">
    <cfRule type="expression" dxfId="25" priority="18">
      <formula>K91&lt;0</formula>
    </cfRule>
  </conditionalFormatting>
  <conditionalFormatting sqref="K96:K101">
    <cfRule type="expression" dxfId="24" priority="17">
      <formula>K96&lt;0</formula>
    </cfRule>
  </conditionalFormatting>
  <conditionalFormatting sqref="K103">
    <cfRule type="expression" dxfId="23" priority="16">
      <formula>K103&lt;0</formula>
    </cfRule>
  </conditionalFormatting>
  <conditionalFormatting sqref="K105:K112">
    <cfRule type="expression" dxfId="22" priority="15">
      <formula>K105&lt;0</formula>
    </cfRule>
  </conditionalFormatting>
  <conditionalFormatting sqref="K114:K123">
    <cfRule type="expression" dxfId="21" priority="14">
      <formula>K114&lt;0</formula>
    </cfRule>
  </conditionalFormatting>
  <conditionalFormatting sqref="K125">
    <cfRule type="expression" dxfId="20" priority="13">
      <formula>K125&lt;0</formula>
    </cfRule>
  </conditionalFormatting>
  <conditionalFormatting sqref="K127:K144">
    <cfRule type="expression" dxfId="19" priority="12">
      <formula>K127&lt;0</formula>
    </cfRule>
  </conditionalFormatting>
  <conditionalFormatting sqref="K146:K152">
    <cfRule type="expression" dxfId="18" priority="11">
      <formula>K146&lt;0</formula>
    </cfRule>
  </conditionalFormatting>
  <conditionalFormatting sqref="K154:K159">
    <cfRule type="expression" dxfId="17" priority="10">
      <formula>K154&lt;0</formula>
    </cfRule>
  </conditionalFormatting>
  <conditionalFormatting sqref="K161:K166">
    <cfRule type="expression" dxfId="16" priority="9">
      <formula>K161&lt;0</formula>
    </cfRule>
  </conditionalFormatting>
  <conditionalFormatting sqref="K168:K175">
    <cfRule type="expression" dxfId="15" priority="8">
      <formula>K168&lt;0</formula>
    </cfRule>
  </conditionalFormatting>
  <conditionalFormatting sqref="K177:K178">
    <cfRule type="expression" dxfId="14" priority="7">
      <formula>K177&lt;0</formula>
    </cfRule>
  </conditionalFormatting>
  <conditionalFormatting sqref="K183:K185">
    <cfRule type="expression" dxfId="13" priority="5">
      <formula>K183&lt;0</formula>
    </cfRule>
  </conditionalFormatting>
  <conditionalFormatting sqref="K187">
    <cfRule type="expression" dxfId="12" priority="4">
      <formula>K187&lt;0</formula>
    </cfRule>
  </conditionalFormatting>
  <conditionalFormatting sqref="K189:K190">
    <cfRule type="expression" dxfId="11" priority="3">
      <formula>K189&lt;0</formula>
    </cfRule>
  </conditionalFormatting>
  <conditionalFormatting sqref="K192:K203">
    <cfRule type="expression" dxfId="10" priority="2">
      <formula>K192&lt;0</formula>
    </cfRule>
  </conditionalFormatting>
  <conditionalFormatting sqref="K205:K206">
    <cfRule type="expression" dxfId="9" priority="1">
      <formula>K205&lt;0</formula>
    </cfRule>
  </conditionalFormatting>
  <dataValidations disablePrompts="1" count="1">
    <dataValidation type="list" allowBlank="1" showInputMessage="1" showErrorMessage="1" sqref="H48:H50 H205:H206 H192:H203 H187 H180:H181 H177:H178 H183:H185 H168:H175 H73:H84 H11:H15 H146:H152 H38:H46 H96:H101 H17:H25 H56:H71 H27:H36 H86:H89 H127:H144 H161:H166 H189:H190 H91:H94 H154:H159 H105:H112 H103 H125 H52:H54 H114:H123">
      <formula1>$F$6:$I$6</formula1>
    </dataValidation>
  </dataValidations>
  <printOptions horizontalCentered="1"/>
  <pageMargins left="0.39370078740157483" right="0.39370078740157483" top="0.59055118110236227" bottom="0.23622047244094491" header="0.19685039370078741" footer="0"/>
  <pageSetup paperSize="9" scale="75" firstPageNumber="0" fitToHeight="0" orientation="landscape" r:id="rId1"/>
  <headerFooter>
    <oddFooter>Página &amp;P de &amp;N</oddFooter>
  </headerFooter>
  <rowBreaks count="1" manualBreakCount="1">
    <brk id="220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5">
    <pageSetUpPr fitToPage="1"/>
  </sheetPr>
  <dimension ref="A1:I104"/>
  <sheetViews>
    <sheetView showGridLines="0" view="pageBreakPreview" zoomScaleNormal="100" zoomScaleSheetLayoutView="100" workbookViewId="0">
      <selection activeCell="B1" sqref="B1:H1"/>
    </sheetView>
  </sheetViews>
  <sheetFormatPr defaultRowHeight="12.75" x14ac:dyDescent="0.2"/>
  <cols>
    <col min="1" max="1" width="13.28515625" style="1" bestFit="1" customWidth="1"/>
    <col min="2" max="3" width="20.7109375" style="1" customWidth="1"/>
    <col min="4" max="4" width="11.5703125" style="2" customWidth="1"/>
    <col min="5" max="5" width="3.85546875" style="1" customWidth="1"/>
    <col min="6" max="8" width="13.28515625" style="1" customWidth="1"/>
    <col min="9" max="16384" width="9.140625" style="1"/>
  </cols>
  <sheetData>
    <row r="1" spans="1:9" ht="90" customHeight="1" thickBot="1" x14ac:dyDescent="0.25">
      <c r="A1" s="231" t="s">
        <v>532</v>
      </c>
      <c r="B1" s="295" t="s">
        <v>513</v>
      </c>
      <c r="C1" s="295"/>
      <c r="D1" s="295"/>
      <c r="E1" s="295"/>
      <c r="F1" s="295"/>
      <c r="G1" s="295"/>
      <c r="H1" s="295"/>
    </row>
    <row r="2" spans="1:9" ht="14.25" x14ac:dyDescent="0.2">
      <c r="A2" s="36"/>
      <c r="B2" s="37"/>
      <c r="C2" s="37"/>
      <c r="D2" s="37"/>
      <c r="E2" s="37"/>
      <c r="F2" s="37"/>
      <c r="G2" s="37"/>
      <c r="H2" s="37"/>
    </row>
    <row r="3" spans="1:9" ht="14.25" customHeight="1" x14ac:dyDescent="0.2">
      <c r="A3" s="321" t="s">
        <v>534</v>
      </c>
      <c r="B3" s="321"/>
      <c r="C3" s="321"/>
      <c r="D3" s="321"/>
      <c r="E3" s="321"/>
      <c r="F3" s="321"/>
      <c r="G3" s="321"/>
      <c r="H3" s="321"/>
    </row>
    <row r="4" spans="1:9" ht="15" x14ac:dyDescent="0.2">
      <c r="A4" s="322" t="s">
        <v>535</v>
      </c>
      <c r="B4" s="322"/>
      <c r="C4" s="322"/>
      <c r="D4" s="322"/>
      <c r="E4" s="322"/>
      <c r="F4" s="322"/>
      <c r="G4" s="322"/>
      <c r="H4" s="322"/>
    </row>
    <row r="5" spans="1:9" ht="14.25" x14ac:dyDescent="0.2">
      <c r="A5" s="36"/>
      <c r="B5" s="37"/>
      <c r="C5" s="37"/>
      <c r="D5" s="37"/>
      <c r="E5" s="37"/>
      <c r="F5" s="37"/>
      <c r="G5" s="37"/>
      <c r="H5" s="37"/>
    </row>
    <row r="6" spans="1:9" s="5" customFormat="1" ht="15" customHeight="1" x14ac:dyDescent="0.2">
      <c r="A6" s="55" t="s">
        <v>8</v>
      </c>
      <c r="B6" s="56"/>
      <c r="C6" s="57"/>
      <c r="D6" s="57"/>
      <c r="H6" s="67"/>
    </row>
    <row r="7" spans="1:9" s="5" customFormat="1" ht="15" customHeight="1" x14ac:dyDescent="0.2">
      <c r="A7" s="289" t="s">
        <v>10</v>
      </c>
      <c r="B7" s="290"/>
      <c r="C7" s="290"/>
      <c r="D7" s="290"/>
      <c r="E7" s="290"/>
      <c r="F7" s="290"/>
      <c r="G7" s="290"/>
      <c r="H7" s="291"/>
    </row>
    <row r="8" spans="1:9" s="5" customFormat="1" ht="7.5" customHeight="1" x14ac:dyDescent="0.2">
      <c r="A8" s="46"/>
      <c r="B8" s="37"/>
      <c r="C8" s="37"/>
      <c r="D8" s="37"/>
      <c r="E8" s="37"/>
      <c r="F8" s="37"/>
      <c r="G8" s="37"/>
      <c r="H8" s="37"/>
      <c r="I8" s="11"/>
    </row>
    <row r="9" spans="1:9" s="5" customFormat="1" ht="15" customHeight="1" x14ac:dyDescent="0.2">
      <c r="A9" s="55" t="s">
        <v>11</v>
      </c>
      <c r="B9" s="56"/>
      <c r="C9" s="57"/>
      <c r="D9" s="57"/>
      <c r="E9" s="37"/>
      <c r="F9" s="37"/>
      <c r="G9" s="57"/>
      <c r="H9" s="58"/>
      <c r="I9" s="11"/>
    </row>
    <row r="10" spans="1:9" s="5" customFormat="1" ht="15" customHeight="1" x14ac:dyDescent="0.2">
      <c r="A10" s="289" t="s">
        <v>17</v>
      </c>
      <c r="B10" s="290"/>
      <c r="C10" s="290"/>
      <c r="D10" s="290"/>
      <c r="E10" s="290"/>
      <c r="F10" s="290"/>
      <c r="G10" s="252"/>
      <c r="H10" s="230"/>
      <c r="I10" s="11"/>
    </row>
    <row r="11" spans="1:9" ht="7.5" customHeight="1" x14ac:dyDescent="0.2">
      <c r="A11" s="3"/>
      <c r="B11" s="3"/>
      <c r="C11" s="3"/>
      <c r="D11" s="193"/>
      <c r="E11" s="3"/>
      <c r="F11" s="3"/>
      <c r="G11" s="3"/>
      <c r="H11" s="3"/>
    </row>
    <row r="12" spans="1:9" ht="15" customHeight="1" x14ac:dyDescent="0.2">
      <c r="A12" s="317" t="s">
        <v>450</v>
      </c>
      <c r="B12" s="318"/>
      <c r="C12" s="318"/>
      <c r="D12" s="318"/>
      <c r="E12" s="318"/>
      <c r="F12" s="318"/>
      <c r="G12" s="318"/>
      <c r="H12" s="30">
        <v>1</v>
      </c>
    </row>
    <row r="13" spans="1:9" ht="15" customHeight="1" x14ac:dyDescent="0.2">
      <c r="A13" s="319" t="s">
        <v>451</v>
      </c>
      <c r="B13" s="320"/>
      <c r="C13" s="320"/>
      <c r="D13" s="320"/>
      <c r="E13" s="320"/>
      <c r="F13" s="320"/>
      <c r="G13" s="320"/>
      <c r="H13" s="70">
        <v>0.02</v>
      </c>
    </row>
    <row r="14" spans="1:9" ht="15" customHeight="1" x14ac:dyDescent="0.2">
      <c r="A14" s="71"/>
      <c r="B14" s="71"/>
      <c r="C14" s="71"/>
      <c r="D14" s="71"/>
      <c r="E14" s="71"/>
      <c r="F14" s="71"/>
      <c r="G14" s="71"/>
      <c r="H14" s="35"/>
    </row>
    <row r="15" spans="1:9" ht="15" customHeight="1" x14ac:dyDescent="0.2">
      <c r="A15" s="3"/>
      <c r="B15" s="3"/>
      <c r="C15" s="3"/>
      <c r="D15" s="193"/>
      <c r="E15" s="3"/>
      <c r="F15" s="3"/>
      <c r="G15" s="3"/>
      <c r="H15" s="3"/>
    </row>
    <row r="16" spans="1:9" ht="15" customHeight="1" x14ac:dyDescent="0.2">
      <c r="A16" s="305" t="s">
        <v>12</v>
      </c>
      <c r="B16" s="306"/>
      <c r="C16" s="306"/>
      <c r="D16" s="306"/>
      <c r="E16" s="306"/>
      <c r="F16" s="306"/>
      <c r="G16" s="306"/>
      <c r="H16" s="307"/>
    </row>
    <row r="17" spans="1:8" ht="7.5" customHeight="1" x14ac:dyDescent="0.2">
      <c r="A17" s="3"/>
      <c r="B17" s="3"/>
      <c r="C17" s="3"/>
      <c r="D17" s="193"/>
      <c r="E17" s="3"/>
      <c r="F17" s="3"/>
      <c r="G17" s="3"/>
      <c r="H17" s="3"/>
    </row>
    <row r="18" spans="1:8" x14ac:dyDescent="0.2">
      <c r="A18" s="55" t="s">
        <v>452</v>
      </c>
      <c r="B18" s="26"/>
      <c r="C18" s="26"/>
      <c r="D18" s="44"/>
      <c r="E18" s="26"/>
      <c r="F18" s="26"/>
      <c r="G18" s="26"/>
      <c r="H18" s="69"/>
    </row>
    <row r="19" spans="1:8" x14ac:dyDescent="0.2">
      <c r="A19" s="308" t="s">
        <v>3</v>
      </c>
      <c r="B19" s="309"/>
      <c r="C19" s="309"/>
      <c r="D19" s="309"/>
      <c r="E19" s="309"/>
      <c r="F19" s="309"/>
      <c r="G19" s="309"/>
      <c r="H19" s="310"/>
    </row>
    <row r="20" spans="1:8" x14ac:dyDescent="0.2">
      <c r="A20" s="3"/>
      <c r="B20" s="3"/>
      <c r="C20" s="3"/>
      <c r="D20" s="193"/>
      <c r="E20" s="3"/>
      <c r="F20" s="3"/>
      <c r="G20" s="3"/>
      <c r="H20" s="3"/>
    </row>
    <row r="21" spans="1:8" x14ac:dyDescent="0.2">
      <c r="A21" s="311" t="s">
        <v>453</v>
      </c>
      <c r="B21" s="311"/>
      <c r="C21" s="311"/>
      <c r="D21" s="311"/>
      <c r="E21" s="34"/>
      <c r="F21" s="312" t="s">
        <v>454</v>
      </c>
      <c r="G21" s="312"/>
      <c r="H21" s="312"/>
    </row>
    <row r="22" spans="1:8" s="10" customFormat="1" x14ac:dyDescent="0.2">
      <c r="A22" s="192" t="s">
        <v>455</v>
      </c>
      <c r="B22" s="313" t="s">
        <v>456</v>
      </c>
      <c r="C22" s="313"/>
      <c r="D22" s="192" t="s">
        <v>30</v>
      </c>
      <c r="E22" s="26"/>
      <c r="F22" s="192" t="s">
        <v>1</v>
      </c>
      <c r="G22" s="192" t="s">
        <v>2</v>
      </c>
      <c r="H22" s="192" t="s">
        <v>457</v>
      </c>
    </row>
    <row r="23" spans="1:8" s="10" customFormat="1" x14ac:dyDescent="0.2">
      <c r="A23" s="191" t="s">
        <v>458</v>
      </c>
      <c r="B23" s="316" t="s">
        <v>5</v>
      </c>
      <c r="C23" s="316"/>
      <c r="D23" s="27">
        <v>4.9299999999999997E-2</v>
      </c>
      <c r="E23" s="26"/>
      <c r="F23" s="31">
        <v>3.4299999999999997E-2</v>
      </c>
      <c r="G23" s="31">
        <v>4.9299999999999997E-2</v>
      </c>
      <c r="H23" s="31">
        <v>6.7100000000000007E-2</v>
      </c>
    </row>
    <row r="24" spans="1:8" s="10" customFormat="1" x14ac:dyDescent="0.2">
      <c r="A24" s="190" t="s">
        <v>459</v>
      </c>
      <c r="B24" s="315" t="s">
        <v>460</v>
      </c>
      <c r="C24" s="315"/>
      <c r="D24" s="29">
        <v>4.8999999999999998E-3</v>
      </c>
      <c r="E24" s="26"/>
      <c r="F24" s="32">
        <v>2.8E-3</v>
      </c>
      <c r="G24" s="32">
        <v>4.8999999999999998E-3</v>
      </c>
      <c r="H24" s="32">
        <v>7.4999999999999997E-3</v>
      </c>
    </row>
    <row r="25" spans="1:8" s="10" customFormat="1" x14ac:dyDescent="0.2">
      <c r="A25" s="191" t="s">
        <v>461</v>
      </c>
      <c r="B25" s="316" t="s">
        <v>6</v>
      </c>
      <c r="C25" s="316"/>
      <c r="D25" s="27">
        <v>1.5100000000000001E-2</v>
      </c>
      <c r="E25" s="26"/>
      <c r="F25" s="31">
        <v>0.01</v>
      </c>
      <c r="G25" s="31">
        <v>1.3899999999999999E-2</v>
      </c>
      <c r="H25" s="31">
        <v>1.7399999999999999E-2</v>
      </c>
    </row>
    <row r="26" spans="1:8" s="10" customFormat="1" x14ac:dyDescent="0.2">
      <c r="A26" s="190" t="s">
        <v>462</v>
      </c>
      <c r="B26" s="315" t="s">
        <v>463</v>
      </c>
      <c r="C26" s="315"/>
      <c r="D26" s="29">
        <v>0.01</v>
      </c>
      <c r="E26" s="26"/>
      <c r="F26" s="32">
        <v>9.4000000000000004E-3</v>
      </c>
      <c r="G26" s="32">
        <v>9.9000000000000008E-3</v>
      </c>
      <c r="H26" s="32">
        <v>1.17E-2</v>
      </c>
    </row>
    <row r="27" spans="1:8" s="10" customFormat="1" x14ac:dyDescent="0.2">
      <c r="A27" s="191" t="s">
        <v>464</v>
      </c>
      <c r="B27" s="316" t="s">
        <v>7</v>
      </c>
      <c r="C27" s="316"/>
      <c r="D27" s="24">
        <v>9.1999999999999998E-2</v>
      </c>
      <c r="E27" s="26"/>
      <c r="F27" s="31">
        <v>6.7400000000000002E-2</v>
      </c>
      <c r="G27" s="31">
        <v>8.0399999999999999E-2</v>
      </c>
      <c r="H27" s="31">
        <v>9.4E-2</v>
      </c>
    </row>
    <row r="28" spans="1:8" s="10" customFormat="1" x14ac:dyDescent="0.2">
      <c r="A28" s="190" t="s">
        <v>465</v>
      </c>
      <c r="B28" s="315" t="s">
        <v>466</v>
      </c>
      <c r="C28" s="315"/>
      <c r="D28" s="28">
        <v>3.6499999999999998E-2</v>
      </c>
      <c r="E28" s="26"/>
      <c r="F28" s="32">
        <v>3.6499999999999998E-2</v>
      </c>
      <c r="G28" s="32">
        <v>3.6499999999999998E-2</v>
      </c>
      <c r="H28" s="32">
        <v>3.6499999999999998E-2</v>
      </c>
    </row>
    <row r="29" spans="1:8" s="10" customFormat="1" x14ac:dyDescent="0.2">
      <c r="A29" s="191" t="s">
        <v>467</v>
      </c>
      <c r="B29" s="316" t="s">
        <v>468</v>
      </c>
      <c r="C29" s="316"/>
      <c r="D29" s="24">
        <f>H13*H12</f>
        <v>0.02</v>
      </c>
      <c r="E29" s="26"/>
      <c r="F29" s="31">
        <v>0</v>
      </c>
      <c r="G29" s="31">
        <v>2.5000000000000001E-2</v>
      </c>
      <c r="H29" s="31">
        <v>0.05</v>
      </c>
    </row>
    <row r="30" spans="1:8" s="10" customFormat="1" x14ac:dyDescent="0.2">
      <c r="A30" s="190" t="s">
        <v>469</v>
      </c>
      <c r="B30" s="315" t="s">
        <v>470</v>
      </c>
      <c r="C30" s="315"/>
      <c r="D30" s="28">
        <v>4.4999999999999998E-2</v>
      </c>
      <c r="E30" s="26"/>
      <c r="F30" s="32">
        <v>0</v>
      </c>
      <c r="G30" s="32">
        <v>4.4999999999999998E-2</v>
      </c>
      <c r="H30" s="32">
        <v>4.4999999999999998E-2</v>
      </c>
    </row>
    <row r="31" spans="1:8" s="10" customFormat="1" ht="16.5" customHeight="1" x14ac:dyDescent="0.2">
      <c r="A31" s="95" t="s">
        <v>0</v>
      </c>
      <c r="B31" s="96" t="s">
        <v>471</v>
      </c>
      <c r="C31" s="95"/>
      <c r="D31" s="97">
        <f>ROUND((((1+D23+D24+D25)*(1+D26)*(1+D27)/(1-(D28+D29)))-1),4)</f>
        <v>0.25</v>
      </c>
      <c r="E31" s="26"/>
      <c r="F31" s="33">
        <v>0.20760000000000001</v>
      </c>
      <c r="G31" s="33">
        <v>0.24179999999999999</v>
      </c>
      <c r="H31" s="33">
        <v>0.26440000000000002</v>
      </c>
    </row>
    <row r="32" spans="1:8" x14ac:dyDescent="0.2">
      <c r="A32" s="98" t="s">
        <v>0</v>
      </c>
      <c r="B32" s="99" t="s">
        <v>472</v>
      </c>
      <c r="C32" s="98"/>
      <c r="D32" s="100">
        <f>ROUND((((1+D23+D24+D25)*(1+D26)*(1+D27)/(1-(D28+D29+D30)))-1),4)</f>
        <v>0.31259999999999999</v>
      </c>
      <c r="E32" s="26"/>
      <c r="F32" s="325"/>
      <c r="G32" s="325"/>
      <c r="H32" s="325"/>
    </row>
    <row r="33" spans="1:8" x14ac:dyDescent="0.2">
      <c r="A33" s="7" t="s">
        <v>533</v>
      </c>
      <c r="B33" s="3"/>
      <c r="C33" s="3"/>
      <c r="D33" s="193"/>
      <c r="E33" s="3"/>
      <c r="F33" s="314" t="s">
        <v>473</v>
      </c>
      <c r="G33" s="314"/>
      <c r="H33" s="314"/>
    </row>
    <row r="34" spans="1:8" x14ac:dyDescent="0.2">
      <c r="A34" s="7"/>
      <c r="B34" s="3"/>
      <c r="C34" s="3"/>
      <c r="D34" s="193"/>
      <c r="E34" s="3"/>
      <c r="F34" s="66"/>
      <c r="G34" s="66"/>
      <c r="H34" s="66"/>
    </row>
    <row r="36" spans="1:8" ht="18" x14ac:dyDescent="0.2">
      <c r="A36" s="305" t="s">
        <v>13</v>
      </c>
      <c r="B36" s="306"/>
      <c r="C36" s="306"/>
      <c r="D36" s="306"/>
      <c r="E36" s="306"/>
      <c r="F36" s="306"/>
      <c r="G36" s="306"/>
      <c r="H36" s="307"/>
    </row>
    <row r="37" spans="1:8" x14ac:dyDescent="0.2">
      <c r="A37" s="3"/>
      <c r="B37" s="3"/>
      <c r="C37" s="3"/>
      <c r="D37" s="193"/>
      <c r="E37" s="3"/>
      <c r="F37" s="3"/>
      <c r="G37" s="3"/>
      <c r="H37" s="3"/>
    </row>
    <row r="38" spans="1:8" x14ac:dyDescent="0.2">
      <c r="A38" s="55" t="s">
        <v>452</v>
      </c>
      <c r="B38" s="26"/>
      <c r="C38" s="26"/>
      <c r="D38" s="44"/>
      <c r="E38" s="26"/>
      <c r="F38" s="26"/>
      <c r="G38" s="26"/>
      <c r="H38" s="69"/>
    </row>
    <row r="39" spans="1:8" x14ac:dyDescent="0.2">
      <c r="A39" s="308" t="s">
        <v>4</v>
      </c>
      <c r="B39" s="309"/>
      <c r="C39" s="309"/>
      <c r="D39" s="309"/>
      <c r="E39" s="309"/>
      <c r="F39" s="309"/>
      <c r="G39" s="309"/>
      <c r="H39" s="310"/>
    </row>
    <row r="40" spans="1:8" x14ac:dyDescent="0.2">
      <c r="A40" s="3"/>
      <c r="B40" s="3"/>
      <c r="C40" s="3"/>
      <c r="D40" s="193"/>
      <c r="E40" s="3"/>
      <c r="F40" s="3"/>
      <c r="G40" s="3"/>
      <c r="H40" s="3"/>
    </row>
    <row r="41" spans="1:8" x14ac:dyDescent="0.2">
      <c r="A41" s="311" t="s">
        <v>453</v>
      </c>
      <c r="B41" s="311"/>
      <c r="C41" s="311"/>
      <c r="D41" s="311"/>
      <c r="E41" s="34"/>
      <c r="F41" s="312" t="s">
        <v>454</v>
      </c>
      <c r="G41" s="312"/>
      <c r="H41" s="312"/>
    </row>
    <row r="42" spans="1:8" x14ac:dyDescent="0.2">
      <c r="A42" s="192" t="s">
        <v>455</v>
      </c>
      <c r="B42" s="313" t="s">
        <v>456</v>
      </c>
      <c r="C42" s="313"/>
      <c r="D42" s="192" t="s">
        <v>30</v>
      </c>
      <c r="E42" s="26"/>
      <c r="F42" s="192" t="s">
        <v>1</v>
      </c>
      <c r="G42" s="192" t="s">
        <v>2</v>
      </c>
      <c r="H42" s="192" t="s">
        <v>457</v>
      </c>
    </row>
    <row r="43" spans="1:8" x14ac:dyDescent="0.2">
      <c r="A43" s="191" t="s">
        <v>458</v>
      </c>
      <c r="B43" s="316" t="s">
        <v>5</v>
      </c>
      <c r="C43" s="316"/>
      <c r="D43" s="27">
        <v>3.4500000000000003E-2</v>
      </c>
      <c r="E43" s="26"/>
      <c r="F43" s="31">
        <v>1.4999999999999999E-2</v>
      </c>
      <c r="G43" s="31">
        <v>3.4500000000000003E-2</v>
      </c>
      <c r="H43" s="31">
        <v>4.4900000000000002E-2</v>
      </c>
    </row>
    <row r="44" spans="1:8" x14ac:dyDescent="0.2">
      <c r="A44" s="190" t="s">
        <v>459</v>
      </c>
      <c r="B44" s="315" t="s">
        <v>460</v>
      </c>
      <c r="C44" s="315"/>
      <c r="D44" s="29">
        <v>4.7999999999999996E-3</v>
      </c>
      <c r="E44" s="26"/>
      <c r="F44" s="32">
        <v>3.0000000000000001E-3</v>
      </c>
      <c r="G44" s="32">
        <v>4.7999999999999996E-3</v>
      </c>
      <c r="H44" s="32">
        <v>8.2000000000000007E-3</v>
      </c>
    </row>
    <row r="45" spans="1:8" x14ac:dyDescent="0.2">
      <c r="A45" s="191" t="s">
        <v>461</v>
      </c>
      <c r="B45" s="316" t="s">
        <v>6</v>
      </c>
      <c r="C45" s="316"/>
      <c r="D45" s="27">
        <v>8.5000000000000006E-3</v>
      </c>
      <c r="E45" s="26"/>
      <c r="F45" s="31">
        <v>5.5999999999999999E-3</v>
      </c>
      <c r="G45" s="31">
        <v>8.5000000000000006E-3</v>
      </c>
      <c r="H45" s="31">
        <v>8.8999999999999999E-3</v>
      </c>
    </row>
    <row r="46" spans="1:8" x14ac:dyDescent="0.2">
      <c r="A46" s="190" t="s">
        <v>462</v>
      </c>
      <c r="B46" s="315" t="s">
        <v>463</v>
      </c>
      <c r="C46" s="315"/>
      <c r="D46" s="29">
        <v>8.5000000000000006E-3</v>
      </c>
      <c r="E46" s="26"/>
      <c r="F46" s="32">
        <v>8.5000000000000006E-3</v>
      </c>
      <c r="G46" s="32">
        <v>8.5000000000000006E-3</v>
      </c>
      <c r="H46" s="32">
        <v>1.11E-2</v>
      </c>
    </row>
    <row r="47" spans="1:8" x14ac:dyDescent="0.2">
      <c r="A47" s="191" t="s">
        <v>464</v>
      </c>
      <c r="B47" s="316" t="s">
        <v>7</v>
      </c>
      <c r="C47" s="316"/>
      <c r="D47" s="24">
        <v>3.9600000000000003E-2</v>
      </c>
      <c r="E47" s="26"/>
      <c r="F47" s="31">
        <v>3.5000000000000003E-2</v>
      </c>
      <c r="G47" s="31">
        <v>5.11E-2</v>
      </c>
      <c r="H47" s="31">
        <v>6.2199999999999998E-2</v>
      </c>
    </row>
    <row r="48" spans="1:8" x14ac:dyDescent="0.2">
      <c r="A48" s="190" t="s">
        <v>465</v>
      </c>
      <c r="B48" s="315" t="s">
        <v>466</v>
      </c>
      <c r="C48" s="315"/>
      <c r="D48" s="28">
        <v>3.6499999999999998E-2</v>
      </c>
      <c r="E48" s="26"/>
      <c r="F48" s="32">
        <v>3.6499999999999998E-2</v>
      </c>
      <c r="G48" s="32">
        <v>3.6499999999999998E-2</v>
      </c>
      <c r="H48" s="32">
        <v>3.6499999999999998E-2</v>
      </c>
    </row>
    <row r="49" spans="1:8" x14ac:dyDescent="0.2">
      <c r="A49" s="191" t="s">
        <v>467</v>
      </c>
      <c r="B49" s="316" t="s">
        <v>468</v>
      </c>
      <c r="C49" s="316"/>
      <c r="D49" s="24">
        <v>0</v>
      </c>
      <c r="E49" s="26"/>
      <c r="F49" s="31">
        <v>0</v>
      </c>
      <c r="G49" s="31">
        <v>2.5000000000000001E-2</v>
      </c>
      <c r="H49" s="31">
        <v>0.05</v>
      </c>
    </row>
    <row r="50" spans="1:8" x14ac:dyDescent="0.2">
      <c r="A50" s="190" t="s">
        <v>469</v>
      </c>
      <c r="B50" s="315" t="s">
        <v>470</v>
      </c>
      <c r="C50" s="315"/>
      <c r="D50" s="28">
        <v>4.4999999999999998E-2</v>
      </c>
      <c r="E50" s="26"/>
      <c r="F50" s="32">
        <v>0</v>
      </c>
      <c r="G50" s="32">
        <v>4.4999999999999998E-2</v>
      </c>
      <c r="H50" s="32">
        <v>4.4999999999999998E-2</v>
      </c>
    </row>
    <row r="51" spans="1:8" x14ac:dyDescent="0.2">
      <c r="A51" s="95" t="s">
        <v>0</v>
      </c>
      <c r="B51" s="96" t="s">
        <v>471</v>
      </c>
      <c r="C51" s="95"/>
      <c r="D51" s="97">
        <f>ROUND((((1+D43+D44+D45)*(1+D46)*(1+D47)/(1-(D48+D49)))-1),4)</f>
        <v>0.14019999999999999</v>
      </c>
      <c r="E51" s="26"/>
      <c r="F51" s="33">
        <v>0.111</v>
      </c>
      <c r="G51" s="33">
        <v>0.14019999999999999</v>
      </c>
      <c r="H51" s="33">
        <v>0.16800000000000001</v>
      </c>
    </row>
    <row r="52" spans="1:8" ht="15" customHeight="1" x14ac:dyDescent="0.2">
      <c r="A52" s="98" t="s">
        <v>0</v>
      </c>
      <c r="B52" s="99" t="s">
        <v>472</v>
      </c>
      <c r="C52" s="98"/>
      <c r="D52" s="100">
        <f>ROUND((((1+D43+D44+D45)*(1+D46)*(1+D47)/(1-(D48+D49+D50)))-1),4)</f>
        <v>0.19600000000000001</v>
      </c>
      <c r="E52" s="26"/>
      <c r="F52" s="325"/>
      <c r="G52" s="325"/>
      <c r="H52" s="325"/>
    </row>
    <row r="53" spans="1:8" x14ac:dyDescent="0.2">
      <c r="A53" s="7" t="s">
        <v>474</v>
      </c>
      <c r="B53" s="3"/>
      <c r="C53" s="3"/>
      <c r="D53" s="193"/>
      <c r="E53" s="3"/>
      <c r="F53" s="314" t="s">
        <v>473</v>
      </c>
      <c r="G53" s="314"/>
      <c r="H53" s="314"/>
    </row>
    <row r="56" spans="1:8" x14ac:dyDescent="0.2">
      <c r="A56" s="324" t="s">
        <v>475</v>
      </c>
      <c r="B56" s="324"/>
      <c r="C56" s="324"/>
      <c r="D56" s="324"/>
      <c r="E56" s="324"/>
      <c r="F56" s="324"/>
      <c r="G56" s="324"/>
      <c r="H56" s="324"/>
    </row>
    <row r="57" spans="1:8" x14ac:dyDescent="0.2">
      <c r="A57" s="3"/>
      <c r="B57" s="3"/>
      <c r="C57" s="3"/>
      <c r="D57" s="193"/>
      <c r="E57" s="3"/>
      <c r="F57" s="3"/>
      <c r="G57" s="3"/>
      <c r="H57" s="3"/>
    </row>
    <row r="58" spans="1:8" x14ac:dyDescent="0.2">
      <c r="A58" s="3"/>
      <c r="B58" s="3"/>
      <c r="C58" s="3"/>
      <c r="D58" s="193"/>
      <c r="E58" s="3"/>
      <c r="F58" s="3"/>
      <c r="G58" s="3"/>
      <c r="H58" s="3"/>
    </row>
    <row r="59" spans="1:8" x14ac:dyDescent="0.2">
      <c r="A59" s="3"/>
      <c r="B59" s="3"/>
      <c r="C59" s="3"/>
      <c r="D59" s="193"/>
      <c r="E59" s="3"/>
      <c r="F59" s="3"/>
      <c r="G59" s="3"/>
      <c r="H59" s="3"/>
    </row>
    <row r="60" spans="1:8" x14ac:dyDescent="0.2">
      <c r="A60" s="3"/>
      <c r="B60" s="3"/>
      <c r="C60" s="3"/>
      <c r="D60" s="193"/>
      <c r="E60" s="3"/>
      <c r="F60" s="3"/>
      <c r="G60" s="3"/>
      <c r="H60" s="3"/>
    </row>
    <row r="62" spans="1:8" x14ac:dyDescent="0.2">
      <c r="A62" s="323" t="str">
        <f>'ANEXO IX.1 - ORÇAMENTO'!A210</f>
        <v>[LOCAL E DATA]</v>
      </c>
      <c r="B62" s="323"/>
      <c r="C62" s="323"/>
      <c r="D62" s="323"/>
      <c r="E62" s="323"/>
      <c r="F62" s="323"/>
      <c r="G62" s="323"/>
      <c r="H62" s="323"/>
    </row>
    <row r="63" spans="1:8" x14ac:dyDescent="0.2">
      <c r="A63" s="3"/>
      <c r="B63" s="195" t="s">
        <v>516</v>
      </c>
      <c r="C63" s="3"/>
      <c r="D63" s="193"/>
      <c r="E63" s="3"/>
      <c r="F63" s="3"/>
      <c r="G63" s="3"/>
      <c r="H63" s="3"/>
    </row>
    <row r="64" spans="1:8" x14ac:dyDescent="0.2">
      <c r="A64" s="3"/>
      <c r="B64" s="3"/>
      <c r="C64" s="3"/>
      <c r="D64" s="193"/>
      <c r="E64" s="3"/>
      <c r="F64" s="3"/>
      <c r="G64" s="3"/>
      <c r="H64" s="3"/>
    </row>
    <row r="65" spans="1:8" x14ac:dyDescent="0.2">
      <c r="A65" s="3"/>
      <c r="B65" s="3"/>
      <c r="C65" s="3"/>
      <c r="D65" s="194"/>
      <c r="E65" s="3"/>
      <c r="F65" s="3"/>
      <c r="G65" s="3"/>
      <c r="H65" s="3"/>
    </row>
    <row r="66" spans="1:8" x14ac:dyDescent="0.2">
      <c r="A66" s="3"/>
      <c r="B66" s="3"/>
      <c r="C66" s="3"/>
      <c r="D66" s="194"/>
      <c r="E66" s="3"/>
      <c r="F66" s="3"/>
      <c r="G66" s="3"/>
      <c r="H66" s="3"/>
    </row>
    <row r="67" spans="1:8" x14ac:dyDescent="0.2">
      <c r="A67" s="3"/>
      <c r="B67" s="3"/>
      <c r="C67" s="3"/>
      <c r="D67" s="193"/>
      <c r="E67" s="3"/>
      <c r="F67" s="3"/>
      <c r="G67" s="3"/>
      <c r="H67" s="3"/>
    </row>
    <row r="68" spans="1:8" x14ac:dyDescent="0.2">
      <c r="A68" s="3"/>
      <c r="B68" s="232" t="str">
        <f>'ANEXO IX.1 - ORÇAMENTO'!$I$217</f>
        <v>[NOME DO REPRESENTANTE LEGAL]</v>
      </c>
      <c r="C68" s="3"/>
      <c r="D68" s="193"/>
      <c r="E68" s="3"/>
      <c r="F68" s="3"/>
      <c r="G68" s="3"/>
      <c r="H68" s="3"/>
    </row>
    <row r="69" spans="1:8" x14ac:dyDescent="0.2">
      <c r="A69" s="3"/>
      <c r="B69" s="248" t="str">
        <f>'ANEXO IX.1 - ORÇAMENTO'!$I$218</f>
        <v>[CARGO]</v>
      </c>
      <c r="C69" s="3"/>
      <c r="D69" s="193"/>
      <c r="E69" s="3"/>
      <c r="F69" s="3"/>
      <c r="G69" s="3"/>
      <c r="H69" s="3"/>
    </row>
    <row r="70" spans="1:8" x14ac:dyDescent="0.2">
      <c r="A70" s="3"/>
      <c r="B70" s="249" t="str">
        <f>'ANEXO IX.1 - ORÇAMENTO'!$I$219</f>
        <v>[NOME DA EMPRESA]</v>
      </c>
      <c r="C70" s="3"/>
      <c r="D70" s="193"/>
      <c r="E70" s="3"/>
      <c r="F70" s="3"/>
      <c r="G70" s="3"/>
      <c r="H70" s="3"/>
    </row>
    <row r="71" spans="1:8" x14ac:dyDescent="0.2">
      <c r="B71" s="233" t="str">
        <f>'ANEXO IX.1 - ORÇAMENTO'!$I$220</f>
        <v>[CNPJ N° ]</v>
      </c>
    </row>
    <row r="99" spans="4:4" ht="12.75" customHeight="1" x14ac:dyDescent="0.2"/>
    <row r="101" spans="4:4" ht="12.75" customHeight="1" x14ac:dyDescent="0.2"/>
    <row r="102" spans="4:4" x14ac:dyDescent="0.2">
      <c r="D102" s="1"/>
    </row>
    <row r="103" spans="4:4" x14ac:dyDescent="0.2">
      <c r="D103" s="1"/>
    </row>
    <row r="104" spans="4:4" x14ac:dyDescent="0.2">
      <c r="D104" s="1"/>
    </row>
  </sheetData>
  <mergeCells count="39">
    <mergeCell ref="A62:H62"/>
    <mergeCell ref="B22:C22"/>
    <mergeCell ref="A56:H56"/>
    <mergeCell ref="B28:C28"/>
    <mergeCell ref="B29:C29"/>
    <mergeCell ref="B30:C30"/>
    <mergeCell ref="B23:C23"/>
    <mergeCell ref="B24:C24"/>
    <mergeCell ref="B25:C25"/>
    <mergeCell ref="B26:C26"/>
    <mergeCell ref="B27:C27"/>
    <mergeCell ref="F32:H32"/>
    <mergeCell ref="B43:C43"/>
    <mergeCell ref="B44:C44"/>
    <mergeCell ref="B45:C45"/>
    <mergeCell ref="F52:H52"/>
    <mergeCell ref="B1:H1"/>
    <mergeCell ref="F21:H21"/>
    <mergeCell ref="A19:H19"/>
    <mergeCell ref="A16:H16"/>
    <mergeCell ref="F33:H33"/>
    <mergeCell ref="A7:H7"/>
    <mergeCell ref="A10:F10"/>
    <mergeCell ref="A12:G12"/>
    <mergeCell ref="A13:G13"/>
    <mergeCell ref="A21:D21"/>
    <mergeCell ref="A3:H3"/>
    <mergeCell ref="A4:H4"/>
    <mergeCell ref="F53:H53"/>
    <mergeCell ref="B46:C46"/>
    <mergeCell ref="B47:C47"/>
    <mergeCell ref="B48:C48"/>
    <mergeCell ref="B49:C49"/>
    <mergeCell ref="B50:C50"/>
    <mergeCell ref="A36:H36"/>
    <mergeCell ref="A39:H39"/>
    <mergeCell ref="A41:D41"/>
    <mergeCell ref="F41:H41"/>
    <mergeCell ref="B42:C42"/>
  </mergeCells>
  <conditionalFormatting sqref="D23:D30 D43:D51">
    <cfRule type="cellIs" dxfId="8" priority="6" operator="notBetween">
      <formula>$F23</formula>
      <formula>$H23</formula>
    </cfRule>
  </conditionalFormatting>
  <conditionalFormatting sqref="D31">
    <cfRule type="cellIs" dxfId="7" priority="17" operator="notBetween">
      <formula>$F$31</formula>
      <formula>$H31</formula>
    </cfRule>
  </conditionalFormatting>
  <conditionalFormatting sqref="A33:D34">
    <cfRule type="expression" dxfId="6" priority="18">
      <formula>OR($A$33="S E L E C I O N E   U M   B D I !",$A$33="S E L E C I O N E   A P E N A S   U M A   O P Ç Ã O   D E   B D I !")</formula>
    </cfRule>
  </conditionalFormatting>
  <conditionalFormatting sqref="A53:D53">
    <cfRule type="expression" dxfId="5" priority="3">
      <formula>OR($A$33="S E L E C I O N E   U M   B D I !",$A$33="S E L E C I O N E   A P E N A S   U M A   O P Ç Ã O   D E   B D I !")</formula>
    </cfRule>
  </conditionalFormatting>
  <pageMargins left="0.98425196850393704" right="0.78740157480314965" top="0.78740157480314965" bottom="0.39370078740157483" header="0.31496062992125984" footer="0.31496062992125984"/>
  <pageSetup paperSize="9" scale="76" fitToHeight="0" orientation="portrait" r:id="rId1"/>
  <headerFooter>
    <oddFooter>Página &amp;P de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9" r:id="rId4" name="Check Box 3">
              <controlPr defaultSize="0" autoFill="0" autoLine="0" autoPict="0" macro="[0]!Clique1_BDI">
                <anchor moveWithCells="1">
                  <from>
                    <xdr:col>0</xdr:col>
                    <xdr:colOff>47625</xdr:colOff>
                    <xdr:row>30</xdr:row>
                    <xdr:rowOff>0</xdr:rowOff>
                  </from>
                  <to>
                    <xdr:col>0</xdr:col>
                    <xdr:colOff>314325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5" name="Check Box 4">
              <controlPr defaultSize="0" autoFill="0" autoLine="0" autoPict="0">
                <anchor moveWithCells="1">
                  <from>
                    <xdr:col>0</xdr:col>
                    <xdr:colOff>47625</xdr:colOff>
                    <xdr:row>30</xdr:row>
                    <xdr:rowOff>180975</xdr:rowOff>
                  </from>
                  <to>
                    <xdr:col>0</xdr:col>
                    <xdr:colOff>314325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3" r:id="rId6" name="Check Box 7">
              <controlPr defaultSize="0" autoFill="0" autoLine="0" autoPict="0" macro="[0]!Clique1_BDI">
                <anchor moveWithCells="1">
                  <from>
                    <xdr:col>0</xdr:col>
                    <xdr:colOff>47625</xdr:colOff>
                    <xdr:row>50</xdr:row>
                    <xdr:rowOff>0</xdr:rowOff>
                  </from>
                  <to>
                    <xdr:col>0</xdr:col>
                    <xdr:colOff>314325</xdr:colOff>
                    <xdr:row>51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4" r:id="rId7" name="Check Box 8">
              <controlPr defaultSize="0" autoFill="0" autoLine="0" autoPict="0">
                <anchor moveWithCells="1">
                  <from>
                    <xdr:col>0</xdr:col>
                    <xdr:colOff>47625</xdr:colOff>
                    <xdr:row>50</xdr:row>
                    <xdr:rowOff>180975</xdr:rowOff>
                  </from>
                  <to>
                    <xdr:col>0</xdr:col>
                    <xdr:colOff>314325</xdr:colOff>
                    <xdr:row>52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showGridLines="0" view="pageBreakPreview" zoomScaleNormal="100" zoomScaleSheetLayoutView="100" workbookViewId="0">
      <selection activeCell="J11" sqref="J11"/>
    </sheetView>
  </sheetViews>
  <sheetFormatPr defaultRowHeight="12.75" x14ac:dyDescent="0.2"/>
  <cols>
    <col min="1" max="1" width="7.85546875" bestFit="1" customWidth="1"/>
    <col min="2" max="2" width="9.140625" customWidth="1"/>
    <col min="3" max="3" width="12.140625" customWidth="1"/>
    <col min="4" max="4" width="49.5703125" customWidth="1"/>
    <col min="5" max="5" width="10.28515625" customWidth="1"/>
    <col min="6" max="6" width="12.7109375" customWidth="1"/>
    <col min="7" max="7" width="10.28515625" customWidth="1"/>
    <col min="8" max="8" width="18.28515625" customWidth="1"/>
    <col min="10" max="10" width="9.140625" style="255" customWidth="1"/>
  </cols>
  <sheetData>
    <row r="1" spans="1:10" ht="83.25" customHeight="1" thickBot="1" x14ac:dyDescent="0.25">
      <c r="A1" s="294" t="s">
        <v>532</v>
      </c>
      <c r="B1" s="294"/>
      <c r="C1" s="295" t="s">
        <v>513</v>
      </c>
      <c r="D1" s="295"/>
      <c r="E1" s="295"/>
      <c r="F1" s="295"/>
      <c r="G1" s="295"/>
      <c r="H1" s="295"/>
    </row>
    <row r="2" spans="1:10" ht="14.25" x14ac:dyDescent="0.2">
      <c r="A2" s="45"/>
      <c r="B2" s="45"/>
      <c r="C2" s="37"/>
      <c r="D2" s="37"/>
      <c r="E2" s="37"/>
      <c r="F2" s="37"/>
      <c r="G2" s="37"/>
      <c r="H2" s="37"/>
    </row>
    <row r="3" spans="1:10" ht="14.25" customHeight="1" x14ac:dyDescent="0.2">
      <c r="A3" s="321" t="s">
        <v>538</v>
      </c>
      <c r="B3" s="321"/>
      <c r="C3" s="321"/>
      <c r="D3" s="321"/>
      <c r="E3" s="321"/>
      <c r="F3" s="321"/>
      <c r="G3" s="321"/>
      <c r="H3" s="321"/>
    </row>
    <row r="4" spans="1:10" ht="14.25" customHeight="1" x14ac:dyDescent="0.2">
      <c r="A4" s="322" t="s">
        <v>537</v>
      </c>
      <c r="B4" s="322"/>
      <c r="C4" s="322"/>
      <c r="D4" s="322"/>
      <c r="E4" s="322"/>
      <c r="F4" s="322"/>
      <c r="G4" s="322"/>
      <c r="H4" s="322"/>
    </row>
    <row r="5" spans="1:10" ht="14.25" x14ac:dyDescent="0.2">
      <c r="A5" s="45"/>
      <c r="B5" s="45"/>
      <c r="C5" s="37"/>
      <c r="D5" s="37"/>
      <c r="E5" s="37"/>
      <c r="F5" s="37"/>
      <c r="G5" s="37"/>
      <c r="H5" s="37"/>
    </row>
    <row r="6" spans="1:10" x14ac:dyDescent="0.2">
      <c r="A6" s="55" t="s">
        <v>8</v>
      </c>
      <c r="B6" s="56"/>
      <c r="C6" s="57"/>
      <c r="D6" s="57"/>
      <c r="G6" s="292" t="s">
        <v>16</v>
      </c>
      <c r="H6" s="293"/>
    </row>
    <row r="7" spans="1:10" ht="12.75" customHeight="1" x14ac:dyDescent="0.2">
      <c r="A7" s="289" t="str">
        <f>'ANEXO IX.1 - ORÇAMENTO'!A4:E4</f>
        <v>REFORMA E ADEQUAÇÃO DA ESTAÇÃO ELEVATÓRIA DE ESGOTO DE ÁGUA FRIA</v>
      </c>
      <c r="B7" s="290"/>
      <c r="C7" s="290"/>
      <c r="D7" s="290"/>
      <c r="E7" s="290"/>
      <c r="F7" s="291"/>
      <c r="G7" s="327">
        <v>46023</v>
      </c>
      <c r="H7" s="328"/>
    </row>
    <row r="8" spans="1:10" x14ac:dyDescent="0.2">
      <c r="A8" s="56"/>
      <c r="B8" s="56"/>
      <c r="C8" s="57"/>
      <c r="D8" s="57"/>
      <c r="E8" s="57"/>
      <c r="F8" s="57"/>
      <c r="G8" s="57"/>
      <c r="H8" s="57"/>
    </row>
    <row r="9" spans="1:10" x14ac:dyDescent="0.2">
      <c r="A9" s="55" t="s">
        <v>11</v>
      </c>
      <c r="B9" s="56"/>
      <c r="C9" s="57"/>
      <c r="D9" s="57"/>
      <c r="E9" s="329" t="s">
        <v>536</v>
      </c>
      <c r="F9" s="330"/>
      <c r="G9" s="330"/>
      <c r="H9" s="331"/>
    </row>
    <row r="10" spans="1:10" ht="12.75" customHeight="1" x14ac:dyDescent="0.2">
      <c r="A10" s="289" t="str">
        <f>'ANEXO IX.1 - ORÇAMENTO'!A7:E7</f>
        <v>AV. TETRACAMPEONATO, S/N°, CIDADE ARACY, SÃO CARLOS, SP</v>
      </c>
      <c r="B10" s="290"/>
      <c r="C10" s="290"/>
      <c r="D10" s="291"/>
      <c r="E10" s="332"/>
      <c r="F10" s="333"/>
      <c r="G10" s="333"/>
      <c r="H10" s="334"/>
    </row>
    <row r="11" spans="1:10" x14ac:dyDescent="0.2">
      <c r="A11" s="56"/>
      <c r="B11" s="56"/>
      <c r="C11" s="57"/>
      <c r="D11" s="57"/>
      <c r="E11" s="57"/>
      <c r="F11" s="57"/>
      <c r="G11" s="57"/>
      <c r="H11" s="57"/>
      <c r="J11" s="272" t="s">
        <v>543</v>
      </c>
    </row>
    <row r="12" spans="1:10" ht="39" thickBot="1" x14ac:dyDescent="0.25">
      <c r="A12" s="114" t="s">
        <v>19</v>
      </c>
      <c r="B12" s="114" t="s">
        <v>20</v>
      </c>
      <c r="C12" s="114" t="s">
        <v>21</v>
      </c>
      <c r="D12" s="114" t="s">
        <v>22</v>
      </c>
      <c r="E12" s="114" t="s">
        <v>23</v>
      </c>
      <c r="F12" s="115" t="s">
        <v>432</v>
      </c>
      <c r="G12" s="115" t="s">
        <v>433</v>
      </c>
      <c r="H12" s="115" t="s">
        <v>434</v>
      </c>
      <c r="J12" s="255" t="s">
        <v>433</v>
      </c>
    </row>
    <row r="13" spans="1:10" ht="30" customHeight="1" x14ac:dyDescent="0.2">
      <c r="A13" s="120" t="s">
        <v>435</v>
      </c>
      <c r="B13" s="121" t="s">
        <v>150</v>
      </c>
      <c r="C13" s="122" t="s">
        <v>151</v>
      </c>
      <c r="D13" s="123" t="s">
        <v>436</v>
      </c>
      <c r="E13" s="124" t="s">
        <v>431</v>
      </c>
      <c r="F13" s="125"/>
      <c r="G13" s="125"/>
      <c r="H13" s="126">
        <f>SUM(H14:H15)</f>
        <v>0</v>
      </c>
    </row>
    <row r="14" spans="1:10" ht="38.25" x14ac:dyDescent="0.2">
      <c r="A14" s="127" t="s">
        <v>437</v>
      </c>
      <c r="B14" s="88" t="s">
        <v>509</v>
      </c>
      <c r="C14" s="89" t="s">
        <v>438</v>
      </c>
      <c r="D14" s="90" t="str">
        <f>UPPER("Transporte de equipamentos com caminhão carroceria em rodovia pavimentada")</f>
        <v>TRANSPORTE DE EQUIPAMENTOS COM CAMINHÃO CARROCERIA EM RODOVIA PAVIMENTADA</v>
      </c>
      <c r="E14" s="91" t="s">
        <v>439</v>
      </c>
      <c r="F14" s="128">
        <v>150</v>
      </c>
      <c r="G14" s="93"/>
      <c r="H14" s="92">
        <f>TRUNC(F14*G14,2)</f>
        <v>0</v>
      </c>
      <c r="J14" s="255">
        <v>10.97</v>
      </c>
    </row>
    <row r="15" spans="1:10" ht="38.25" x14ac:dyDescent="0.2">
      <c r="A15" s="147" t="s">
        <v>437</v>
      </c>
      <c r="B15" s="148" t="s">
        <v>508</v>
      </c>
      <c r="C15" s="117">
        <v>100947</v>
      </c>
      <c r="D15" s="118" t="s">
        <v>440</v>
      </c>
      <c r="E15" s="119" t="s">
        <v>441</v>
      </c>
      <c r="F15" s="149">
        <v>15</v>
      </c>
      <c r="G15" s="150"/>
      <c r="H15" s="151">
        <f t="shared" ref="H15" si="0">TRUNC(F15*G15,2)</f>
        <v>0</v>
      </c>
      <c r="J15" s="255">
        <v>2.59</v>
      </c>
    </row>
    <row r="16" spans="1:10" ht="30" customHeight="1" x14ac:dyDescent="0.2">
      <c r="A16" s="152" t="s">
        <v>435</v>
      </c>
      <c r="B16" s="153" t="s">
        <v>150</v>
      </c>
      <c r="C16" s="154" t="s">
        <v>152</v>
      </c>
      <c r="D16" s="155" t="s">
        <v>442</v>
      </c>
      <c r="E16" s="156" t="s">
        <v>431</v>
      </c>
      <c r="F16" s="157"/>
      <c r="G16" s="157"/>
      <c r="H16" s="158">
        <f>SUM(H17:H20)</f>
        <v>0</v>
      </c>
    </row>
    <row r="17" spans="1:10" ht="63.75" x14ac:dyDescent="0.2">
      <c r="A17" s="127" t="s">
        <v>437</v>
      </c>
      <c r="B17" s="88" t="s">
        <v>508</v>
      </c>
      <c r="C17" s="89">
        <v>93402</v>
      </c>
      <c r="D17" s="90" t="s">
        <v>443</v>
      </c>
      <c r="E17" s="91" t="s">
        <v>444</v>
      </c>
      <c r="F17" s="128">
        <f>16*0.4</f>
        <v>6.4</v>
      </c>
      <c r="G17" s="93"/>
      <c r="H17" s="92">
        <f>TRUNC(F17*G17,2)</f>
        <v>0</v>
      </c>
      <c r="J17" s="255">
        <v>302.17</v>
      </c>
    </row>
    <row r="18" spans="1:10" ht="63.75" x14ac:dyDescent="0.2">
      <c r="A18" s="129" t="s">
        <v>437</v>
      </c>
      <c r="B18" s="81" t="s">
        <v>508</v>
      </c>
      <c r="C18" s="82">
        <v>5930</v>
      </c>
      <c r="D18" s="83" t="s">
        <v>445</v>
      </c>
      <c r="E18" s="84" t="s">
        <v>446</v>
      </c>
      <c r="F18" s="130">
        <f>16*0.6</f>
        <v>9.6</v>
      </c>
      <c r="G18" s="20"/>
      <c r="H18" s="85">
        <f>TRUNC(F18*G18,2)</f>
        <v>0</v>
      </c>
      <c r="J18" s="255">
        <v>86.13</v>
      </c>
    </row>
    <row r="19" spans="1:10" ht="38.25" x14ac:dyDescent="0.2">
      <c r="A19" s="129" t="s">
        <v>437</v>
      </c>
      <c r="B19" s="81" t="s">
        <v>508</v>
      </c>
      <c r="C19" s="82">
        <v>88267</v>
      </c>
      <c r="D19" s="83" t="s">
        <v>447</v>
      </c>
      <c r="E19" s="84" t="s">
        <v>448</v>
      </c>
      <c r="F19" s="130">
        <v>16</v>
      </c>
      <c r="G19" s="86"/>
      <c r="H19" s="85">
        <f t="shared" ref="H19:H20" si="1">TRUNC(F19*G19,2)</f>
        <v>0</v>
      </c>
      <c r="J19" s="255">
        <v>40.92</v>
      </c>
    </row>
    <row r="20" spans="1:10" ht="38.25" x14ac:dyDescent="0.2">
      <c r="A20" s="131" t="s">
        <v>437</v>
      </c>
      <c r="B20" s="132" t="s">
        <v>508</v>
      </c>
      <c r="C20" s="133">
        <v>88248</v>
      </c>
      <c r="D20" s="134" t="s">
        <v>449</v>
      </c>
      <c r="E20" s="135" t="s">
        <v>448</v>
      </c>
      <c r="F20" s="136">
        <f>F19*2</f>
        <v>32</v>
      </c>
      <c r="G20" s="137"/>
      <c r="H20" s="138">
        <f t="shared" si="1"/>
        <v>0</v>
      </c>
      <c r="J20" s="255">
        <v>34.26</v>
      </c>
    </row>
    <row r="21" spans="1:10" ht="51" hidden="1" x14ac:dyDescent="0.2">
      <c r="A21" s="120" t="s">
        <v>435</v>
      </c>
      <c r="B21" s="121" t="s">
        <v>150</v>
      </c>
      <c r="C21" s="122"/>
      <c r="D21" s="123" t="s">
        <v>492</v>
      </c>
      <c r="E21" s="124" t="s">
        <v>426</v>
      </c>
      <c r="F21" s="125"/>
      <c r="G21" s="125"/>
      <c r="H21" s="126">
        <f>SUM(H22:H27)</f>
        <v>0</v>
      </c>
    </row>
    <row r="22" spans="1:10" ht="38.25" hidden="1" x14ac:dyDescent="0.2">
      <c r="A22" s="214" t="s">
        <v>437</v>
      </c>
      <c r="B22" s="214" t="s">
        <v>509</v>
      </c>
      <c r="C22" s="215" t="s">
        <v>490</v>
      </c>
      <c r="D22" s="216" t="s">
        <v>491</v>
      </c>
      <c r="E22" s="217" t="s">
        <v>481</v>
      </c>
      <c r="F22" s="218">
        <f>900*0.03*1.2</f>
        <v>32.4</v>
      </c>
      <c r="G22" s="219"/>
      <c r="H22" s="220">
        <f>TRUNC(F22*G22,2)</f>
        <v>0</v>
      </c>
    </row>
    <row r="23" spans="1:10" hidden="1" x14ac:dyDescent="0.2">
      <c r="A23" s="201" t="s">
        <v>486</v>
      </c>
      <c r="B23" s="201" t="s">
        <v>246</v>
      </c>
      <c r="C23" s="202" t="s">
        <v>425</v>
      </c>
      <c r="D23" s="203" t="e">
        <f>#REF!</f>
        <v>#REF!</v>
      </c>
      <c r="E23" s="204" t="s">
        <v>426</v>
      </c>
      <c r="F23" s="205">
        <v>1.2</v>
      </c>
      <c r="G23" s="200"/>
      <c r="H23" s="206">
        <f t="shared" ref="H23:H24" si="2">TRUNC(F23*G23,2)</f>
        <v>0</v>
      </c>
    </row>
    <row r="24" spans="1:10" ht="38.25" hidden="1" x14ac:dyDescent="0.2">
      <c r="A24" s="201" t="s">
        <v>437</v>
      </c>
      <c r="B24" s="201" t="s">
        <v>509</v>
      </c>
      <c r="C24" s="202" t="s">
        <v>488</v>
      </c>
      <c r="D24" s="203" t="s">
        <v>489</v>
      </c>
      <c r="E24" s="204" t="s">
        <v>482</v>
      </c>
      <c r="F24" s="205">
        <f>(2*(0.85*2+0.45)/(0.85*0.45)+4*(0.85*2+0.54)/(0.85*0.54))/6</f>
        <v>5.1270878721859114</v>
      </c>
      <c r="G24" s="200"/>
      <c r="H24" s="206">
        <f t="shared" si="2"/>
        <v>0</v>
      </c>
    </row>
    <row r="25" spans="1:10" ht="38.25" hidden="1" x14ac:dyDescent="0.2">
      <c r="A25" s="201" t="s">
        <v>486</v>
      </c>
      <c r="B25" s="201" t="s">
        <v>510</v>
      </c>
      <c r="C25" s="207" t="s">
        <v>487</v>
      </c>
      <c r="D25" s="203" t="s">
        <v>485</v>
      </c>
      <c r="E25" s="204" t="s">
        <v>431</v>
      </c>
      <c r="F25" s="205">
        <f>(2*(6/(0.85*0.45))+4*(6/(0.85*0.54)))/6</f>
        <v>13.943355119825709</v>
      </c>
      <c r="G25" s="200"/>
      <c r="H25" s="206">
        <f t="shared" ref="H25:H26" si="3">TRUNC(F25*G25,2)</f>
        <v>0</v>
      </c>
    </row>
    <row r="26" spans="1:10" ht="38.25" hidden="1" x14ac:dyDescent="0.2">
      <c r="A26" s="201" t="s">
        <v>437</v>
      </c>
      <c r="B26" s="201" t="s">
        <v>510</v>
      </c>
      <c r="C26" s="207" t="s">
        <v>483</v>
      </c>
      <c r="D26" s="203" t="s">
        <v>484</v>
      </c>
      <c r="E26" s="204" t="s">
        <v>482</v>
      </c>
      <c r="F26" s="205">
        <f>(2*(0.85*2+0.45)/(0.85*0.45)+4*(0.85*2+0.54)/(0.85*0.54))/6</f>
        <v>5.1270878721859114</v>
      </c>
      <c r="G26" s="200"/>
      <c r="H26" s="206">
        <f t="shared" si="3"/>
        <v>0</v>
      </c>
    </row>
    <row r="27" spans="1:10" ht="38.25" hidden="1" x14ac:dyDescent="0.2">
      <c r="A27" s="208" t="s">
        <v>437</v>
      </c>
      <c r="B27" s="208" t="s">
        <v>510</v>
      </c>
      <c r="C27" s="209">
        <v>70140133</v>
      </c>
      <c r="D27" s="210" t="s">
        <v>140</v>
      </c>
      <c r="E27" s="211" t="s">
        <v>426</v>
      </c>
      <c r="F27" s="212">
        <v>1</v>
      </c>
      <c r="G27" s="213"/>
      <c r="H27" s="213">
        <f t="shared" ref="H27" si="4">TRUNC(F27*G27,2)</f>
        <v>0</v>
      </c>
    </row>
    <row r="28" spans="1:10" ht="38.25" x14ac:dyDescent="0.2">
      <c r="A28" s="120" t="s">
        <v>435</v>
      </c>
      <c r="B28" s="121" t="s">
        <v>150</v>
      </c>
      <c r="C28" s="122" t="s">
        <v>480</v>
      </c>
      <c r="D28" s="123" t="s">
        <v>503</v>
      </c>
      <c r="E28" s="124" t="s">
        <v>428</v>
      </c>
      <c r="F28" s="125"/>
      <c r="G28" s="125"/>
      <c r="H28" s="126">
        <f>SUM(H29:H33)</f>
        <v>0</v>
      </c>
    </row>
    <row r="29" spans="1:10" ht="38.25" x14ac:dyDescent="0.2">
      <c r="A29" s="127" t="s">
        <v>437</v>
      </c>
      <c r="B29" s="88" t="s">
        <v>509</v>
      </c>
      <c r="C29" s="89" t="s">
        <v>493</v>
      </c>
      <c r="D29" s="90" t="s">
        <v>497</v>
      </c>
      <c r="E29" s="91" t="s">
        <v>426</v>
      </c>
      <c r="F29" s="128">
        <f>1.46*0.6</f>
        <v>0.876</v>
      </c>
      <c r="G29" s="93"/>
      <c r="H29" s="92">
        <f>TRUNC(F29*G29,2)</f>
        <v>0</v>
      </c>
      <c r="J29" s="255">
        <v>5791.36</v>
      </c>
    </row>
    <row r="30" spans="1:10" ht="38.25" x14ac:dyDescent="0.2">
      <c r="A30" s="129" t="s">
        <v>500</v>
      </c>
      <c r="B30" s="81" t="s">
        <v>510</v>
      </c>
      <c r="C30" s="198" t="s">
        <v>502</v>
      </c>
      <c r="D30" s="83" t="s">
        <v>501</v>
      </c>
      <c r="E30" s="84" t="s">
        <v>431</v>
      </c>
      <c r="F30" s="130">
        <v>1</v>
      </c>
      <c r="G30" s="20"/>
      <c r="H30" s="85">
        <f>TRUNC(F30*G30,2)</f>
        <v>0</v>
      </c>
      <c r="J30" s="255">
        <v>2021.31</v>
      </c>
    </row>
    <row r="31" spans="1:10" ht="38.25" x14ac:dyDescent="0.2">
      <c r="A31" s="129" t="s">
        <v>437</v>
      </c>
      <c r="B31" s="81" t="s">
        <v>511</v>
      </c>
      <c r="C31" s="82" t="s">
        <v>504</v>
      </c>
      <c r="D31" s="83" t="s">
        <v>505</v>
      </c>
      <c r="E31" s="84" t="s">
        <v>431</v>
      </c>
      <c r="F31" s="130">
        <v>1</v>
      </c>
      <c r="G31" s="85"/>
      <c r="H31" s="85">
        <f t="shared" ref="H31" si="5">TRUNC(F31*G31,2)</f>
        <v>0</v>
      </c>
      <c r="J31" s="255">
        <v>206.84</v>
      </c>
    </row>
    <row r="32" spans="1:10" ht="38.25" x14ac:dyDescent="0.2">
      <c r="A32" s="129" t="s">
        <v>437</v>
      </c>
      <c r="B32" s="81" t="s">
        <v>510</v>
      </c>
      <c r="C32" s="82" t="s">
        <v>499</v>
      </c>
      <c r="D32" s="83" t="s">
        <v>498</v>
      </c>
      <c r="E32" s="84" t="s">
        <v>431</v>
      </c>
      <c r="F32" s="130">
        <v>1</v>
      </c>
      <c r="G32" s="86"/>
      <c r="H32" s="85">
        <f t="shared" ref="H32" si="6">TRUNC(F32*G32,2)</f>
        <v>0</v>
      </c>
      <c r="J32" s="255">
        <v>1058.8699999999999</v>
      </c>
    </row>
    <row r="33" spans="1:8" x14ac:dyDescent="0.2">
      <c r="A33" s="196"/>
      <c r="B33" s="38"/>
      <c r="C33" s="39"/>
      <c r="D33" s="40"/>
      <c r="E33" s="41"/>
      <c r="F33" s="197"/>
      <c r="G33" s="43"/>
      <c r="H33" s="42">
        <f t="shared" ref="H33" si="7">TRUNC(F33*G33,2)</f>
        <v>0</v>
      </c>
    </row>
    <row r="34" spans="1:8" x14ac:dyDescent="0.2">
      <c r="A34" s="139"/>
      <c r="B34" s="140"/>
      <c r="C34" s="141"/>
      <c r="D34" s="142"/>
      <c r="E34" s="143"/>
      <c r="F34" s="144"/>
      <c r="G34" s="145"/>
      <c r="H34" s="146"/>
    </row>
    <row r="36" spans="1:8" x14ac:dyDescent="0.2">
      <c r="A36" s="326" t="str">
        <f>'ANEXO IX.1 - ORÇAMENTO'!A210</f>
        <v>[LOCAL E DATA]</v>
      </c>
      <c r="B36" s="326"/>
      <c r="C36" s="326"/>
      <c r="D36" s="326"/>
      <c r="E36" s="326"/>
      <c r="F36" s="326"/>
      <c r="G36" s="326"/>
      <c r="H36" s="326"/>
    </row>
    <row r="38" spans="1:8" x14ac:dyDescent="0.2">
      <c r="C38" s="195" t="s">
        <v>516</v>
      </c>
    </row>
    <row r="39" spans="1:8" x14ac:dyDescent="0.2">
      <c r="D39" s="195"/>
    </row>
    <row r="42" spans="1:8" x14ac:dyDescent="0.2">
      <c r="C42" s="232" t="str">
        <f>'ANEXO IX.1 - ORÇAMENTO'!$I$217</f>
        <v>[NOME DO REPRESENTANTE LEGAL]</v>
      </c>
    </row>
    <row r="43" spans="1:8" x14ac:dyDescent="0.2">
      <c r="C43" s="248" t="str">
        <f>'ANEXO IX.1 - ORÇAMENTO'!$I$218</f>
        <v>[CARGO]</v>
      </c>
    </row>
    <row r="44" spans="1:8" x14ac:dyDescent="0.2">
      <c r="C44" s="249" t="str">
        <f>'ANEXO IX.1 - ORÇAMENTO'!$I$219</f>
        <v>[NOME DA EMPRESA]</v>
      </c>
    </row>
    <row r="45" spans="1:8" x14ac:dyDescent="0.2">
      <c r="C45" s="233" t="str">
        <f>'ANEXO IX.1 - ORÇAMENTO'!$I$220</f>
        <v>[CNPJ N° ]</v>
      </c>
    </row>
  </sheetData>
  <mergeCells count="10">
    <mergeCell ref="C1:H1"/>
    <mergeCell ref="A36:H36"/>
    <mergeCell ref="A1:B1"/>
    <mergeCell ref="G6:H6"/>
    <mergeCell ref="G7:H7"/>
    <mergeCell ref="A10:D10"/>
    <mergeCell ref="E9:H10"/>
    <mergeCell ref="A7:F7"/>
    <mergeCell ref="A3:H3"/>
    <mergeCell ref="A4:H4"/>
  </mergeCells>
  <conditionalFormatting sqref="G14:G32">
    <cfRule type="expression" dxfId="4" priority="1">
      <formula>G14&gt;J14</formula>
    </cfRule>
  </conditionalFormatting>
  <pageMargins left="0.51181102362204722" right="0.51181102362204722" top="0.78740157480314965" bottom="0.78740157480314965" header="0.31496062992125984" footer="0.31496062992125984"/>
  <pageSetup paperSize="9" scale="72" fitToHeight="0" orientation="portrait" r:id="rId1"/>
  <headerFooter>
    <oddFooter>Página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pageSetUpPr fitToPage="1"/>
  </sheetPr>
  <dimension ref="A1:S129"/>
  <sheetViews>
    <sheetView showGridLines="0" view="pageBreakPreview" zoomScaleNormal="100" zoomScaleSheetLayoutView="100" workbookViewId="0"/>
  </sheetViews>
  <sheetFormatPr defaultRowHeight="12.75" x14ac:dyDescent="0.2"/>
  <cols>
    <col min="1" max="1" width="13" style="6" customWidth="1"/>
    <col min="2" max="2" width="47" style="6" customWidth="1"/>
    <col min="3" max="8" width="15.140625" style="6" customWidth="1"/>
    <col min="9" max="9" width="20.5703125" style="6" customWidth="1"/>
    <col min="10" max="10" width="16.42578125" style="6" customWidth="1"/>
    <col min="11" max="11" width="3.28515625" style="12" customWidth="1"/>
    <col min="12" max="1026" width="8.7109375" style="6" customWidth="1"/>
    <col min="1027" max="16384" width="9.140625" style="6"/>
  </cols>
  <sheetData>
    <row r="1" spans="1:12" s="5" customFormat="1" ht="69" customHeight="1" thickBot="1" x14ac:dyDescent="0.35">
      <c r="A1" s="256" t="s">
        <v>532</v>
      </c>
      <c r="B1" s="295" t="s">
        <v>513</v>
      </c>
      <c r="C1" s="296"/>
      <c r="D1" s="296"/>
      <c r="E1" s="296"/>
      <c r="F1" s="296"/>
      <c r="G1" s="362" t="s">
        <v>539</v>
      </c>
      <c r="H1" s="362"/>
      <c r="I1" s="362"/>
      <c r="J1" s="362"/>
      <c r="K1" s="11"/>
    </row>
    <row r="2" spans="1:12" s="5" customFormat="1" ht="15" customHeight="1" x14ac:dyDescent="0.2">
      <c r="A2" s="46"/>
      <c r="B2" s="37"/>
      <c r="C2" s="37"/>
      <c r="D2" s="37"/>
      <c r="E2" s="37"/>
      <c r="F2" s="37"/>
      <c r="G2" s="37"/>
      <c r="H2" s="37"/>
      <c r="I2" s="37"/>
      <c r="J2" s="37"/>
      <c r="K2" s="11"/>
    </row>
    <row r="3" spans="1:12" s="5" customFormat="1" ht="15" customHeight="1" x14ac:dyDescent="0.2">
      <c r="A3" s="55" t="s">
        <v>8</v>
      </c>
      <c r="B3" s="56"/>
      <c r="C3" s="57"/>
      <c r="D3" s="57"/>
      <c r="E3" s="55" t="s">
        <v>11</v>
      </c>
      <c r="J3" s="59" t="s">
        <v>16</v>
      </c>
    </row>
    <row r="4" spans="1:12" s="5" customFormat="1" ht="15" customHeight="1" x14ac:dyDescent="0.2">
      <c r="A4" s="253" t="str">
        <f>'ANEXO IX.1 - ORÇAMENTO'!A4:E4</f>
        <v>REFORMA E ADEQUAÇÃO DA ESTAÇÃO ELEVATÓRIA DE ESGOTO DE ÁGUA FRIA</v>
      </c>
      <c r="B4" s="254"/>
      <c r="C4" s="254"/>
      <c r="D4" s="254"/>
      <c r="E4" s="253" t="s">
        <v>17</v>
      </c>
      <c r="F4" s="254"/>
      <c r="G4" s="254"/>
      <c r="H4" s="254"/>
      <c r="I4" s="254"/>
      <c r="J4" s="61">
        <v>46023</v>
      </c>
    </row>
    <row r="5" spans="1:12" s="5" customFormat="1" ht="15" customHeight="1" x14ac:dyDescent="0.2">
      <c r="A5" s="46"/>
      <c r="B5" s="37"/>
      <c r="C5" s="37"/>
      <c r="D5" s="37"/>
      <c r="E5" s="37"/>
      <c r="F5" s="37"/>
      <c r="G5" s="37"/>
      <c r="H5" s="37"/>
      <c r="I5" s="37"/>
      <c r="J5" s="37"/>
      <c r="K5" s="11"/>
    </row>
    <row r="6" spans="1:12" ht="20.100000000000001" customHeight="1" x14ac:dyDescent="0.2">
      <c r="A6" s="356" t="s">
        <v>19</v>
      </c>
      <c r="B6" s="356" t="s">
        <v>22</v>
      </c>
      <c r="C6" s="358" t="s">
        <v>415</v>
      </c>
      <c r="D6" s="358"/>
      <c r="E6" s="358"/>
      <c r="F6" s="358"/>
      <c r="G6" s="358"/>
      <c r="H6" s="358"/>
      <c r="I6" s="356" t="s">
        <v>416</v>
      </c>
      <c r="J6" s="359" t="s">
        <v>30</v>
      </c>
    </row>
    <row r="7" spans="1:12" ht="20.100000000000001" customHeight="1" x14ac:dyDescent="0.2">
      <c r="A7" s="357"/>
      <c r="B7" s="357"/>
      <c r="C7" s="189" t="s">
        <v>417</v>
      </c>
      <c r="D7" s="189" t="s">
        <v>418</v>
      </c>
      <c r="E7" s="189" t="s">
        <v>419</v>
      </c>
      <c r="F7" s="189" t="s">
        <v>420</v>
      </c>
      <c r="G7" s="189" t="s">
        <v>421</v>
      </c>
      <c r="H7" s="189" t="s">
        <v>422</v>
      </c>
      <c r="I7" s="357"/>
      <c r="J7" s="360"/>
    </row>
    <row r="8" spans="1:12" ht="15" customHeight="1" x14ac:dyDescent="0.2">
      <c r="A8" s="353">
        <v>1</v>
      </c>
      <c r="B8" s="354" t="str">
        <f>IFERROR(VLOOKUP(A8,PO_R2,4,0),"")</f>
        <v>SERVIÇOS PRELIMINARES E CANTEIRO DE OBRAS</v>
      </c>
      <c r="C8" s="53">
        <f t="shared" ref="C8:H8" si="0">IF(C9="","",C9*$I$8)</f>
        <v>0</v>
      </c>
      <c r="D8" s="53">
        <f t="shared" si="0"/>
        <v>0</v>
      </c>
      <c r="E8" s="53">
        <f t="shared" si="0"/>
        <v>0</v>
      </c>
      <c r="F8" s="53">
        <f t="shared" si="0"/>
        <v>0</v>
      </c>
      <c r="G8" s="53">
        <f t="shared" si="0"/>
        <v>0</v>
      </c>
      <c r="H8" s="53">
        <f t="shared" si="0"/>
        <v>0</v>
      </c>
      <c r="I8" s="361">
        <f>IFERROR(VLOOKUP(A8,PO_R2,12,0),"")</f>
        <v>0</v>
      </c>
      <c r="J8" s="355" t="str">
        <f>IFERROR(VLOOKUP(A8,PO_R2,13,0),"")</f>
        <v/>
      </c>
    </row>
    <row r="9" spans="1:12" ht="15" customHeight="1" x14ac:dyDescent="0.2">
      <c r="A9" s="342"/>
      <c r="B9" s="335"/>
      <c r="C9" s="72">
        <v>0.5</v>
      </c>
      <c r="D9" s="72">
        <v>0.1</v>
      </c>
      <c r="E9" s="72">
        <v>0.1</v>
      </c>
      <c r="F9" s="72">
        <v>0.1</v>
      </c>
      <c r="G9" s="72">
        <v>0.1</v>
      </c>
      <c r="H9" s="72">
        <v>0.1</v>
      </c>
      <c r="I9" s="337"/>
      <c r="J9" s="339"/>
      <c r="L9" s="6" t="str">
        <f>IF(SUM(C9:H9)=100%,"Ok","Revisar percentuais")</f>
        <v>Ok</v>
      </c>
    </row>
    <row r="10" spans="1:12" ht="15" customHeight="1" x14ac:dyDescent="0.2">
      <c r="A10" s="342">
        <v>2</v>
      </c>
      <c r="B10" s="335" t="str">
        <f>IFERROR(VLOOKUP(A10,PO_R2,4,0),"")</f>
        <v>EXECUÇÃO DE LIGAÇÃO PROVISÓRIA AO POÇO DE SUCÇÃO</v>
      </c>
      <c r="C10" s="54">
        <f t="shared" ref="C10:H10" si="1">IF(C11="","",C11*$I10)</f>
        <v>0</v>
      </c>
      <c r="D10" s="54" t="str">
        <f t="shared" si="1"/>
        <v/>
      </c>
      <c r="E10" s="54" t="str">
        <f t="shared" si="1"/>
        <v/>
      </c>
      <c r="F10" s="54" t="str">
        <f t="shared" si="1"/>
        <v/>
      </c>
      <c r="G10" s="54" t="str">
        <f t="shared" si="1"/>
        <v/>
      </c>
      <c r="H10" s="54" t="str">
        <f t="shared" si="1"/>
        <v/>
      </c>
      <c r="I10" s="337">
        <f>IFERROR(VLOOKUP(A10,PO_R2,12,0),"")</f>
        <v>0</v>
      </c>
      <c r="J10" s="339" t="str">
        <f>IFERROR(VLOOKUP(A10,PO_R2,13,0),"")</f>
        <v/>
      </c>
    </row>
    <row r="11" spans="1:12" ht="15" customHeight="1" x14ac:dyDescent="0.2">
      <c r="A11" s="342"/>
      <c r="B11" s="335"/>
      <c r="C11" s="72">
        <v>1</v>
      </c>
      <c r="D11" s="72"/>
      <c r="E11" s="72"/>
      <c r="F11" s="72"/>
      <c r="G11" s="72"/>
      <c r="H11" s="72"/>
      <c r="I11" s="337"/>
      <c r="J11" s="339"/>
      <c r="L11" s="6" t="str">
        <f>IF(SUM(C11:H11)=100%,"Ok","Revisar percentuais")</f>
        <v>Ok</v>
      </c>
    </row>
    <row r="12" spans="1:12" ht="15" customHeight="1" x14ac:dyDescent="0.2">
      <c r="A12" s="342">
        <v>3</v>
      </c>
      <c r="B12" s="335" t="str">
        <f>IFERROR(VLOOKUP(A12,PO_R2,4,0),"")</f>
        <v>REDE DE ESGOTO SANITÁRIO (ES)</v>
      </c>
      <c r="C12" s="54">
        <f t="shared" ref="C12:H12" si="2">IF(C13="","",C13*$I12)</f>
        <v>0</v>
      </c>
      <c r="D12" s="54" t="str">
        <f t="shared" si="2"/>
        <v/>
      </c>
      <c r="E12" s="54" t="str">
        <f t="shared" si="2"/>
        <v/>
      </c>
      <c r="F12" s="54" t="str">
        <f t="shared" si="2"/>
        <v/>
      </c>
      <c r="G12" s="54" t="str">
        <f t="shared" si="2"/>
        <v/>
      </c>
      <c r="H12" s="54" t="str">
        <f t="shared" si="2"/>
        <v/>
      </c>
      <c r="I12" s="337">
        <f>IFERROR(VLOOKUP(A12,PO_R2,12,0),"")</f>
        <v>0</v>
      </c>
      <c r="J12" s="339" t="str">
        <f>IFERROR(VLOOKUP(A12,PO_R2,13,0),"")</f>
        <v/>
      </c>
    </row>
    <row r="13" spans="1:12" ht="15" customHeight="1" x14ac:dyDescent="0.2">
      <c r="A13" s="342"/>
      <c r="B13" s="335"/>
      <c r="C13" s="72">
        <v>1</v>
      </c>
      <c r="D13" s="72"/>
      <c r="E13" s="72"/>
      <c r="F13" s="72"/>
      <c r="G13" s="72"/>
      <c r="H13" s="72"/>
      <c r="I13" s="337"/>
      <c r="J13" s="339"/>
      <c r="L13" s="6" t="str">
        <f>IF(SUM(C13:H13)=100%,"Ok","Revisar percentuais")</f>
        <v>Ok</v>
      </c>
    </row>
    <row r="14" spans="1:12" ht="15" customHeight="1" x14ac:dyDescent="0.2">
      <c r="A14" s="342">
        <v>4</v>
      </c>
      <c r="B14" s="335" t="str">
        <f>IFERROR(VLOOKUP(A14,PO_R2,4,0),"")</f>
        <v>REDE DE ÁGUAS PLUVIAIS (AP)</v>
      </c>
      <c r="C14" s="54">
        <f t="shared" ref="C14:H14" si="3">IF(C15="","",C15*$I14)</f>
        <v>0</v>
      </c>
      <c r="D14" s="54" t="str">
        <f t="shared" si="3"/>
        <v/>
      </c>
      <c r="E14" s="54" t="str">
        <f t="shared" si="3"/>
        <v/>
      </c>
      <c r="F14" s="54" t="str">
        <f t="shared" si="3"/>
        <v/>
      </c>
      <c r="G14" s="54" t="str">
        <f t="shared" si="3"/>
        <v/>
      </c>
      <c r="H14" s="54" t="str">
        <f t="shared" si="3"/>
        <v/>
      </c>
      <c r="I14" s="337">
        <f>IFERROR(VLOOKUP(A14,PO_R2,12,0),"")</f>
        <v>0</v>
      </c>
      <c r="J14" s="339" t="str">
        <f>IFERROR(VLOOKUP(A14,PO_R2,13,0),"")</f>
        <v/>
      </c>
    </row>
    <row r="15" spans="1:12" ht="15" customHeight="1" x14ac:dyDescent="0.2">
      <c r="A15" s="342"/>
      <c r="B15" s="335"/>
      <c r="C15" s="72">
        <v>1</v>
      </c>
      <c r="D15" s="72"/>
      <c r="E15" s="72"/>
      <c r="F15" s="72"/>
      <c r="G15" s="72"/>
      <c r="H15" s="72"/>
      <c r="I15" s="337"/>
      <c r="J15" s="339"/>
      <c r="L15" s="6" t="str">
        <f>IF(SUM(C15:H15)=100%,"Ok","Revisar percentuais")</f>
        <v>Ok</v>
      </c>
    </row>
    <row r="16" spans="1:12" ht="15" customHeight="1" x14ac:dyDescent="0.2">
      <c r="A16" s="342">
        <v>5</v>
      </c>
      <c r="B16" s="335" t="str">
        <f>IFERROR(VLOOKUP(A16,PO_R2,4,0),"")</f>
        <v xml:space="preserve">ESCAVAÇÃO: TRATAMENTO PRELIMINAR
</v>
      </c>
      <c r="C16" s="54" t="str">
        <f>IF(C17="","",C17*$I16)</f>
        <v/>
      </c>
      <c r="D16" s="54">
        <f>IF(D17="","",D17*$I16)</f>
        <v>0</v>
      </c>
      <c r="E16" s="54" t="str">
        <f>IF(E17="","",E17*$I16)</f>
        <v/>
      </c>
      <c r="F16" s="54" t="str">
        <f>IF(F17="","",F17*$I16)</f>
        <v/>
      </c>
      <c r="G16" s="54" t="str">
        <f>IF(G17="","",G17*$I16)</f>
        <v/>
      </c>
      <c r="H16" s="54" t="str">
        <f t="shared" ref="H16" si="4">IF(H17="","",H17*$I16)</f>
        <v/>
      </c>
      <c r="I16" s="337">
        <f>IFERROR(VLOOKUP(A16,PO_R2,12,0),"")</f>
        <v>0</v>
      </c>
      <c r="J16" s="339" t="str">
        <f>IFERROR(VLOOKUP(A16,PO_R2,13,0),"")</f>
        <v/>
      </c>
    </row>
    <row r="17" spans="1:12" ht="15" customHeight="1" x14ac:dyDescent="0.2">
      <c r="A17" s="342"/>
      <c r="B17" s="335"/>
      <c r="C17" s="72"/>
      <c r="D17" s="72">
        <v>1</v>
      </c>
      <c r="E17" s="72"/>
      <c r="F17" s="72"/>
      <c r="G17" s="72"/>
      <c r="H17" s="72"/>
      <c r="I17" s="337"/>
      <c r="J17" s="339"/>
      <c r="L17" s="6" t="str">
        <f>IF(SUM(C17:H17)=100%,"Ok","Revisar percentuais")</f>
        <v>Ok</v>
      </c>
    </row>
    <row r="18" spans="1:12" ht="15" customHeight="1" x14ac:dyDescent="0.2">
      <c r="A18" s="342">
        <v>6</v>
      </c>
      <c r="B18" s="335" t="str">
        <f>IFERROR(VLOOKUP(A18,PO_R2,4,0),"")</f>
        <v xml:space="preserve">ESCAVAÇÃO: TANQUES PULMÃO
</v>
      </c>
      <c r="C18" s="54" t="str">
        <f t="shared" ref="C18:H18" si="5">IF(C19="","",C19*$I18)</f>
        <v/>
      </c>
      <c r="D18" s="54" t="str">
        <f t="shared" si="5"/>
        <v/>
      </c>
      <c r="E18" s="54" t="str">
        <f t="shared" si="5"/>
        <v/>
      </c>
      <c r="F18" s="54">
        <f t="shared" si="5"/>
        <v>0</v>
      </c>
      <c r="G18" s="54" t="str">
        <f t="shared" si="5"/>
        <v/>
      </c>
      <c r="H18" s="54" t="str">
        <f t="shared" si="5"/>
        <v/>
      </c>
      <c r="I18" s="337">
        <f>IFERROR(VLOOKUP(A18,PO_R2,12,0),"")</f>
        <v>0</v>
      </c>
      <c r="J18" s="339" t="str">
        <f>IFERROR(VLOOKUP(A18,PO_R2,13,0),"")</f>
        <v/>
      </c>
    </row>
    <row r="19" spans="1:12" ht="15" customHeight="1" x14ac:dyDescent="0.2">
      <c r="A19" s="342"/>
      <c r="B19" s="335"/>
      <c r="C19" s="72"/>
      <c r="D19" s="72"/>
      <c r="E19" s="72"/>
      <c r="F19" s="72">
        <v>1</v>
      </c>
      <c r="G19" s="72"/>
      <c r="H19" s="72"/>
      <c r="I19" s="337"/>
      <c r="J19" s="339"/>
      <c r="L19" s="6" t="str">
        <f>IF(SUM(C19:H19)=100%,"Ok","Revisar percentuais")</f>
        <v>Ok</v>
      </c>
    </row>
    <row r="20" spans="1:12" ht="15" customHeight="1" x14ac:dyDescent="0.2">
      <c r="A20" s="342">
        <v>7</v>
      </c>
      <c r="B20" s="335" t="str">
        <f>IFERROR(VLOOKUP(A20,PO_R2,4,0),"")</f>
        <v>ESTRUTURA DE CONCRETO: TRATAMENTO PRELIMINAR (EEE)</v>
      </c>
      <c r="C20" s="54" t="str">
        <f t="shared" ref="C20:H20" si="6">IF(C21="","",C21*$I20)</f>
        <v/>
      </c>
      <c r="D20" s="54">
        <f t="shared" si="6"/>
        <v>0</v>
      </c>
      <c r="E20" s="54">
        <f t="shared" si="6"/>
        <v>0</v>
      </c>
      <c r="F20" s="54" t="str">
        <f t="shared" si="6"/>
        <v/>
      </c>
      <c r="G20" s="54" t="str">
        <f t="shared" si="6"/>
        <v/>
      </c>
      <c r="H20" s="54" t="str">
        <f t="shared" si="6"/>
        <v/>
      </c>
      <c r="I20" s="337">
        <f>IFERROR(VLOOKUP(A20,PO_R2,12,0),"")</f>
        <v>0</v>
      </c>
      <c r="J20" s="339" t="str">
        <f>IFERROR(VLOOKUP(A20,PO_R2,13,0),"")</f>
        <v/>
      </c>
    </row>
    <row r="21" spans="1:12" ht="15" customHeight="1" x14ac:dyDescent="0.2">
      <c r="A21" s="342"/>
      <c r="B21" s="335"/>
      <c r="C21" s="72"/>
      <c r="D21" s="72">
        <v>0.5</v>
      </c>
      <c r="E21" s="72">
        <v>0.5</v>
      </c>
      <c r="F21" s="72"/>
      <c r="G21" s="72"/>
      <c r="H21" s="72"/>
      <c r="I21" s="337"/>
      <c r="J21" s="339"/>
      <c r="L21" s="6" t="str">
        <f>IF(SUM(C21:H21)=100%,"Ok","Revisar percentuais")</f>
        <v>Ok</v>
      </c>
    </row>
    <row r="22" spans="1:12" ht="15" customHeight="1" x14ac:dyDescent="0.2">
      <c r="A22" s="342">
        <v>8</v>
      </c>
      <c r="B22" s="335" t="str">
        <f>IFERROR(VLOOKUP(A22,PO_R2,4,0),"")</f>
        <v>MURO DE ARRIMO: TRATAMENTO PRELIMINAR (EEE)</v>
      </c>
      <c r="C22" s="54" t="str">
        <f t="shared" ref="C22:H36" si="7">IF(C23="","",C23*$I22)</f>
        <v/>
      </c>
      <c r="D22" s="54" t="str">
        <f t="shared" si="7"/>
        <v/>
      </c>
      <c r="E22" s="54">
        <f t="shared" si="7"/>
        <v>0</v>
      </c>
      <c r="F22" s="54" t="str">
        <f t="shared" si="7"/>
        <v/>
      </c>
      <c r="G22" s="54" t="str">
        <f t="shared" si="7"/>
        <v/>
      </c>
      <c r="H22" s="54" t="str">
        <f t="shared" si="7"/>
        <v/>
      </c>
      <c r="I22" s="337">
        <f>IFERROR(VLOOKUP(A22,PO_R2,12,0),"")</f>
        <v>0</v>
      </c>
      <c r="J22" s="339" t="str">
        <f>IFERROR(VLOOKUP(A22,PO_R2,13,0),"")</f>
        <v/>
      </c>
    </row>
    <row r="23" spans="1:12" ht="15" customHeight="1" x14ac:dyDescent="0.2">
      <c r="A23" s="342"/>
      <c r="B23" s="335"/>
      <c r="C23" s="72"/>
      <c r="D23" s="72"/>
      <c r="E23" s="72">
        <v>1</v>
      </c>
      <c r="F23" s="72"/>
      <c r="G23" s="72"/>
      <c r="H23" s="72"/>
      <c r="I23" s="337"/>
      <c r="J23" s="339"/>
      <c r="L23" s="6" t="str">
        <f>IF(SUM(C23:H23)=100%,"Ok","Revisar percentuais")</f>
        <v>Ok</v>
      </c>
    </row>
    <row r="24" spans="1:12" ht="15" customHeight="1" x14ac:dyDescent="0.2">
      <c r="A24" s="342">
        <v>9</v>
      </c>
      <c r="B24" s="335" t="str">
        <f>IFERROR(VLOOKUP(A24,PO_R2,4,0),"")</f>
        <v>ESCADAS DE ACESSO: TRATAMENTO PRELIMINAR (EEE)</v>
      </c>
      <c r="C24" s="54" t="str">
        <f t="shared" si="7"/>
        <v/>
      </c>
      <c r="D24" s="54" t="str">
        <f t="shared" si="7"/>
        <v/>
      </c>
      <c r="E24" s="54">
        <f t="shared" si="7"/>
        <v>0</v>
      </c>
      <c r="F24" s="54" t="str">
        <f t="shared" si="7"/>
        <v/>
      </c>
      <c r="G24" s="54" t="str">
        <f t="shared" si="7"/>
        <v/>
      </c>
      <c r="H24" s="54" t="str">
        <f t="shared" si="7"/>
        <v/>
      </c>
      <c r="I24" s="337">
        <f>IFERROR(VLOOKUP(A24,PO_R2,12,0),"")</f>
        <v>0</v>
      </c>
      <c r="J24" s="339" t="str">
        <f>IFERROR(VLOOKUP(A24,PO_R2,13,0),"")</f>
        <v/>
      </c>
    </row>
    <row r="25" spans="1:12" ht="15" customHeight="1" x14ac:dyDescent="0.2">
      <c r="A25" s="342"/>
      <c r="B25" s="335"/>
      <c r="C25" s="72"/>
      <c r="D25" s="72"/>
      <c r="E25" s="72">
        <v>1</v>
      </c>
      <c r="F25" s="72"/>
      <c r="G25" s="72"/>
      <c r="H25" s="72"/>
      <c r="I25" s="337"/>
      <c r="J25" s="339"/>
      <c r="L25" s="6" t="str">
        <f t="shared" ref="L25" si="8">IF(SUM(C25:H25)=100%,"Ok","Revisar percentuais")</f>
        <v>Ok</v>
      </c>
    </row>
    <row r="26" spans="1:12" ht="15" customHeight="1" x14ac:dyDescent="0.2">
      <c r="A26" s="342">
        <v>10</v>
      </c>
      <c r="B26" s="335" t="str">
        <f>IFERROR(VLOOKUP(A26,PO_R2,4,0),"")</f>
        <v>PISO DE CONCRETO: TRATAMENTO PRELIMINAR (EEE)</v>
      </c>
      <c r="C26" s="54" t="str">
        <f t="shared" si="7"/>
        <v/>
      </c>
      <c r="D26" s="54" t="str">
        <f t="shared" si="7"/>
        <v/>
      </c>
      <c r="E26" s="54">
        <f t="shared" si="7"/>
        <v>0</v>
      </c>
      <c r="F26" s="54" t="str">
        <f t="shared" si="7"/>
        <v/>
      </c>
      <c r="G26" s="54" t="str">
        <f t="shared" si="7"/>
        <v/>
      </c>
      <c r="H26" s="54" t="str">
        <f t="shared" si="7"/>
        <v/>
      </c>
      <c r="I26" s="337">
        <f>IFERROR(VLOOKUP(A26,PO_R2,12,0),"")</f>
        <v>0</v>
      </c>
      <c r="J26" s="339" t="str">
        <f>IFERROR(VLOOKUP(A26,PO_R2,13,0),"")</f>
        <v/>
      </c>
    </row>
    <row r="27" spans="1:12" ht="15" customHeight="1" x14ac:dyDescent="0.2">
      <c r="A27" s="342"/>
      <c r="B27" s="335"/>
      <c r="C27" s="72"/>
      <c r="D27" s="72"/>
      <c r="E27" s="72">
        <v>1</v>
      </c>
      <c r="F27" s="72"/>
      <c r="G27" s="72"/>
      <c r="H27" s="72"/>
      <c r="I27" s="337"/>
      <c r="J27" s="339"/>
      <c r="L27" s="6" t="str">
        <f t="shared" ref="L27" si="9">IF(SUM(C27:H27)=100%,"Ok","Revisar percentuais")</f>
        <v>Ok</v>
      </c>
    </row>
    <row r="28" spans="1:12" ht="15" customHeight="1" x14ac:dyDescent="0.2">
      <c r="A28" s="342">
        <v>11</v>
      </c>
      <c r="B28" s="335" t="str">
        <f>IFERROR(VLOOKUP(A28,PO_R2,4,0),"")</f>
        <v>ACESSÓRIOS: TRATAMENTO PRELIMINAR (EEE)</v>
      </c>
      <c r="C28" s="54" t="str">
        <f t="shared" si="7"/>
        <v/>
      </c>
      <c r="D28" s="54" t="str">
        <f t="shared" si="7"/>
        <v/>
      </c>
      <c r="E28" s="54">
        <f t="shared" si="7"/>
        <v>0</v>
      </c>
      <c r="F28" s="54" t="str">
        <f t="shared" si="7"/>
        <v/>
      </c>
      <c r="G28" s="54" t="str">
        <f t="shared" si="7"/>
        <v/>
      </c>
      <c r="H28" s="54" t="str">
        <f t="shared" si="7"/>
        <v/>
      </c>
      <c r="I28" s="337">
        <f>IFERROR(VLOOKUP(A28,PO_R2,12,0),"")</f>
        <v>0</v>
      </c>
      <c r="J28" s="339" t="str">
        <f>IFERROR(VLOOKUP(A28,PO_R2,13,0),"")</f>
        <v/>
      </c>
    </row>
    <row r="29" spans="1:12" ht="15" customHeight="1" x14ac:dyDescent="0.2">
      <c r="A29" s="342"/>
      <c r="B29" s="335"/>
      <c r="C29" s="72"/>
      <c r="D29" s="72"/>
      <c r="E29" s="72">
        <v>1</v>
      </c>
      <c r="F29" s="72"/>
      <c r="G29" s="72"/>
      <c r="H29" s="72"/>
      <c r="I29" s="337"/>
      <c r="J29" s="339"/>
      <c r="L29" s="6" t="str">
        <f t="shared" ref="L29" si="10">IF(SUM(C29:H29)=100%,"Ok","Revisar percentuais")</f>
        <v>Ok</v>
      </c>
    </row>
    <row r="30" spans="1:12" ht="15" customHeight="1" x14ac:dyDescent="0.2">
      <c r="A30" s="342">
        <v>12</v>
      </c>
      <c r="B30" s="335" t="str">
        <f>IFERROR(VLOOKUP(A30,PO_R2,4,0),"")</f>
        <v>REATERRO COMPACTADO: TRATAMENTO PRELIMINAR (EEE)</v>
      </c>
      <c r="C30" s="54" t="str">
        <f t="shared" si="7"/>
        <v/>
      </c>
      <c r="D30" s="54" t="str">
        <f t="shared" si="7"/>
        <v/>
      </c>
      <c r="E30" s="54">
        <f t="shared" si="7"/>
        <v>0</v>
      </c>
      <c r="F30" s="54" t="str">
        <f t="shared" si="7"/>
        <v/>
      </c>
      <c r="G30" s="54" t="str">
        <f t="shared" si="7"/>
        <v/>
      </c>
      <c r="H30" s="54" t="str">
        <f t="shared" si="7"/>
        <v/>
      </c>
      <c r="I30" s="337">
        <f>IFERROR(VLOOKUP(A30,PO_R2,12,0),"")</f>
        <v>0</v>
      </c>
      <c r="J30" s="339" t="str">
        <f>IFERROR(VLOOKUP(A30,PO_R2,13,0),"")</f>
        <v/>
      </c>
    </row>
    <row r="31" spans="1:12" ht="15" customHeight="1" x14ac:dyDescent="0.2">
      <c r="A31" s="342"/>
      <c r="B31" s="335"/>
      <c r="C31" s="72"/>
      <c r="D31" s="72"/>
      <c r="E31" s="72">
        <v>1</v>
      </c>
      <c r="F31" s="72"/>
      <c r="G31" s="72"/>
      <c r="H31" s="72"/>
      <c r="I31" s="337"/>
      <c r="J31" s="339"/>
      <c r="L31" s="6" t="str">
        <f t="shared" ref="L31" si="11">IF(SUM(C31:H31)=100%,"Ok","Revisar percentuais")</f>
        <v>Ok</v>
      </c>
    </row>
    <row r="32" spans="1:12" ht="15" customHeight="1" x14ac:dyDescent="0.2">
      <c r="A32" s="342">
        <v>13</v>
      </c>
      <c r="B32" s="335" t="str">
        <f>IFERROR(VLOOKUP(A32,PO_R2,4,0),"")</f>
        <v xml:space="preserve">TANQUES PULMÃO
</v>
      </c>
      <c r="C32" s="54" t="str">
        <f t="shared" si="7"/>
        <v/>
      </c>
      <c r="D32" s="54" t="str">
        <f t="shared" si="7"/>
        <v/>
      </c>
      <c r="E32" s="54">
        <f t="shared" si="7"/>
        <v>0</v>
      </c>
      <c r="F32" s="54">
        <f t="shared" si="7"/>
        <v>0</v>
      </c>
      <c r="G32" s="54" t="str">
        <f t="shared" si="7"/>
        <v/>
      </c>
      <c r="H32" s="54" t="str">
        <f t="shared" si="7"/>
        <v/>
      </c>
      <c r="I32" s="337">
        <f>IFERROR(VLOOKUP(A32,PO_R2,12,0),"")</f>
        <v>0</v>
      </c>
      <c r="J32" s="339" t="str">
        <f>IFERROR(VLOOKUP(A32,PO_R2,13,0),"")</f>
        <v/>
      </c>
    </row>
    <row r="33" spans="1:12" ht="15" customHeight="1" x14ac:dyDescent="0.2">
      <c r="A33" s="342"/>
      <c r="B33" s="335"/>
      <c r="C33" s="72"/>
      <c r="D33" s="72"/>
      <c r="E33" s="72">
        <v>3.4299999999999997E-2</v>
      </c>
      <c r="F33" s="72">
        <v>0.9657</v>
      </c>
      <c r="G33" s="72"/>
      <c r="H33" s="72"/>
      <c r="I33" s="337"/>
      <c r="J33" s="339"/>
      <c r="L33" s="6" t="str">
        <f t="shared" ref="L33" si="12">IF(SUM(C33:H33)=100%,"Ok","Revisar percentuais")</f>
        <v>Ok</v>
      </c>
    </row>
    <row r="34" spans="1:12" ht="15" customHeight="1" x14ac:dyDescent="0.2">
      <c r="A34" s="342">
        <v>14</v>
      </c>
      <c r="B34" s="335" t="str">
        <f>IFERROR(VLOOKUP(A34,PO_R2,4,0),"")</f>
        <v xml:space="preserve">CAIXAS PARA VÁLVULAS DE MANOBRA: TANQUES PULMÃO
</v>
      </c>
      <c r="C34" s="54" t="str">
        <f t="shared" si="7"/>
        <v/>
      </c>
      <c r="D34" s="54" t="str">
        <f t="shared" si="7"/>
        <v/>
      </c>
      <c r="E34" s="54" t="str">
        <f t="shared" si="7"/>
        <v/>
      </c>
      <c r="F34" s="54">
        <f t="shared" si="7"/>
        <v>0</v>
      </c>
      <c r="G34" s="54" t="str">
        <f t="shared" si="7"/>
        <v/>
      </c>
      <c r="H34" s="54" t="str">
        <f t="shared" si="7"/>
        <v/>
      </c>
      <c r="I34" s="337">
        <f>IFERROR(VLOOKUP(A34,PO_R2,12,0),"")</f>
        <v>0</v>
      </c>
      <c r="J34" s="339" t="str">
        <f>IFERROR(VLOOKUP(A34,PO_R2,13,0),"")</f>
        <v/>
      </c>
    </row>
    <row r="35" spans="1:12" ht="15" customHeight="1" x14ac:dyDescent="0.2">
      <c r="A35" s="342"/>
      <c r="B35" s="335"/>
      <c r="C35" s="72"/>
      <c r="D35" s="72"/>
      <c r="E35" s="72"/>
      <c r="F35" s="72">
        <v>1</v>
      </c>
      <c r="G35" s="72"/>
      <c r="H35" s="72"/>
      <c r="I35" s="337"/>
      <c r="J35" s="339"/>
      <c r="L35" s="6" t="str">
        <f t="shared" ref="L35" si="13">IF(SUM(C35:H35)=100%,"Ok","Revisar percentuais")</f>
        <v>Ok</v>
      </c>
    </row>
    <row r="36" spans="1:12" ht="15" customHeight="1" x14ac:dyDescent="0.2">
      <c r="A36" s="342">
        <v>15</v>
      </c>
      <c r="B36" s="335" t="str">
        <f>IFERROR(VLOOKUP(A36,PO_R2,4,0),"")</f>
        <v>REATERRO COMPACTADO: TANQUES PULMÃO</v>
      </c>
      <c r="C36" s="54" t="str">
        <f t="shared" si="7"/>
        <v/>
      </c>
      <c r="D36" s="54" t="str">
        <f t="shared" si="7"/>
        <v/>
      </c>
      <c r="E36" s="54" t="str">
        <f t="shared" si="7"/>
        <v/>
      </c>
      <c r="F36" s="54">
        <f t="shared" si="7"/>
        <v>0</v>
      </c>
      <c r="G36" s="54" t="str">
        <f t="shared" si="7"/>
        <v/>
      </c>
      <c r="H36" s="54" t="str">
        <f t="shared" si="7"/>
        <v/>
      </c>
      <c r="I36" s="337">
        <f>IFERROR(VLOOKUP(A36,PO_R2,12,0),"")</f>
        <v>0</v>
      </c>
      <c r="J36" s="339" t="str">
        <f>IFERROR(VLOOKUP(A36,PO_R2,13,0),"")</f>
        <v/>
      </c>
    </row>
    <row r="37" spans="1:12" ht="15" customHeight="1" x14ac:dyDescent="0.2">
      <c r="A37" s="342"/>
      <c r="B37" s="335"/>
      <c r="C37" s="72"/>
      <c r="D37" s="72"/>
      <c r="E37" s="72"/>
      <c r="F37" s="72">
        <v>1</v>
      </c>
      <c r="G37" s="72"/>
      <c r="H37" s="72"/>
      <c r="I37" s="337"/>
      <c r="J37" s="339"/>
      <c r="L37" s="6" t="str">
        <f t="shared" ref="L37" si="14">IF(SUM(C37:H37)=100%,"Ok","Revisar percentuais")</f>
        <v>Ok</v>
      </c>
    </row>
    <row r="38" spans="1:12" ht="15" customHeight="1" x14ac:dyDescent="0.2">
      <c r="A38" s="342">
        <v>16</v>
      </c>
      <c r="B38" s="335" t="str">
        <f>IFERROR(VLOOKUP(A38,PO_R2,4,0),"")</f>
        <v>INSTALAÇÕES HIDRÁULICAS</v>
      </c>
      <c r="C38" s="54" t="str">
        <f t="shared" ref="C38:H60" si="15">IF(C39="","",C39*$I38)</f>
        <v/>
      </c>
      <c r="D38" s="54" t="str">
        <f t="shared" si="15"/>
        <v/>
      </c>
      <c r="E38" s="54" t="str">
        <f t="shared" si="15"/>
        <v/>
      </c>
      <c r="F38" s="54">
        <f t="shared" si="15"/>
        <v>0</v>
      </c>
      <c r="G38" s="54">
        <f t="shared" si="15"/>
        <v>0</v>
      </c>
      <c r="H38" s="54" t="str">
        <f t="shared" si="15"/>
        <v/>
      </c>
      <c r="I38" s="337">
        <f>IFERROR(VLOOKUP(A38,PO_R2,12,0),"")</f>
        <v>0</v>
      </c>
      <c r="J38" s="339" t="str">
        <f>IFERROR(VLOOKUP(A38,PO_R2,13,0),"")</f>
        <v/>
      </c>
    </row>
    <row r="39" spans="1:12" ht="15" customHeight="1" x14ac:dyDescent="0.2">
      <c r="A39" s="342"/>
      <c r="B39" s="335"/>
      <c r="C39" s="72"/>
      <c r="D39" s="72"/>
      <c r="E39" s="72"/>
      <c r="F39" s="72">
        <v>0.5</v>
      </c>
      <c r="G39" s="72">
        <v>0.5</v>
      </c>
      <c r="H39" s="72"/>
      <c r="I39" s="337"/>
      <c r="J39" s="339"/>
      <c r="L39" s="6" t="str">
        <f t="shared" ref="L39" si="16">IF(SUM(C39:H39)=100%,"Ok","Revisar percentuais")</f>
        <v>Ok</v>
      </c>
    </row>
    <row r="40" spans="1:12" ht="15" customHeight="1" x14ac:dyDescent="0.2">
      <c r="A40" s="342">
        <v>17</v>
      </c>
      <c r="B40" s="335" t="str">
        <f>IFERROR(VLOOKUP(A40,PO_R2,4,0),"")</f>
        <v>LINHA DE RECALQUE (EEE)</v>
      </c>
      <c r="C40" s="54" t="str">
        <f t="shared" si="15"/>
        <v/>
      </c>
      <c r="D40" s="54" t="str">
        <f t="shared" si="15"/>
        <v/>
      </c>
      <c r="E40" s="54" t="str">
        <f t="shared" si="15"/>
        <v/>
      </c>
      <c r="F40" s="54" t="str">
        <f t="shared" si="15"/>
        <v/>
      </c>
      <c r="G40" s="54">
        <f t="shared" si="15"/>
        <v>0</v>
      </c>
      <c r="H40" s="54" t="str">
        <f t="shared" si="15"/>
        <v/>
      </c>
      <c r="I40" s="337">
        <f>IFERROR(VLOOKUP(A40,PO_R2,12,0),"")</f>
        <v>0</v>
      </c>
      <c r="J40" s="339" t="str">
        <f>IFERROR(VLOOKUP(A40,PO_R2,13,0),"")</f>
        <v/>
      </c>
    </row>
    <row r="41" spans="1:12" ht="15" customHeight="1" x14ac:dyDescent="0.2">
      <c r="A41" s="342"/>
      <c r="B41" s="335"/>
      <c r="C41" s="72"/>
      <c r="D41" s="72"/>
      <c r="E41" s="72"/>
      <c r="F41" s="72"/>
      <c r="G41" s="72">
        <v>1</v>
      </c>
      <c r="H41" s="72"/>
      <c r="I41" s="337"/>
      <c r="J41" s="339"/>
      <c r="L41" s="6" t="str">
        <f t="shared" ref="L41" si="17">IF(SUM(C41:H41)=100%,"Ok","Revisar percentuais")</f>
        <v>Ok</v>
      </c>
    </row>
    <row r="42" spans="1:12" ht="15" customHeight="1" x14ac:dyDescent="0.2">
      <c r="A42" s="342">
        <v>18</v>
      </c>
      <c r="B42" s="335" t="str">
        <f>IFERROR(VLOOKUP(A42,PO_R2,4,0),"")</f>
        <v>DRENAGEM INTERNA (EEE)</v>
      </c>
      <c r="C42" s="54" t="str">
        <f t="shared" si="15"/>
        <v/>
      </c>
      <c r="D42" s="54" t="str">
        <f t="shared" si="15"/>
        <v/>
      </c>
      <c r="E42" s="54" t="str">
        <f t="shared" si="15"/>
        <v/>
      </c>
      <c r="F42" s="54">
        <f t="shared" si="15"/>
        <v>0</v>
      </c>
      <c r="G42" s="54" t="str">
        <f t="shared" si="15"/>
        <v/>
      </c>
      <c r="H42" s="54" t="str">
        <f t="shared" si="15"/>
        <v/>
      </c>
      <c r="I42" s="337">
        <f>IFERROR(VLOOKUP(A42,PO_R2,12,0),"")</f>
        <v>0</v>
      </c>
      <c r="J42" s="339" t="str">
        <f>IFERROR(VLOOKUP(A42,PO_R2,13,0),"")</f>
        <v/>
      </c>
    </row>
    <row r="43" spans="1:12" ht="15" customHeight="1" x14ac:dyDescent="0.2">
      <c r="A43" s="342"/>
      <c r="B43" s="335"/>
      <c r="C43" s="72"/>
      <c r="D43" s="72"/>
      <c r="E43" s="72"/>
      <c r="F43" s="72">
        <v>1</v>
      </c>
      <c r="G43" s="72"/>
      <c r="H43" s="72"/>
      <c r="I43" s="337"/>
      <c r="J43" s="339"/>
      <c r="L43" s="6" t="str">
        <f t="shared" ref="L43" si="18">IF(SUM(C43:H43)=100%,"Ok","Revisar percentuais")</f>
        <v>Ok</v>
      </c>
    </row>
    <row r="44" spans="1:12" ht="15" customHeight="1" x14ac:dyDescent="0.2">
      <c r="A44" s="342">
        <v>19</v>
      </c>
      <c r="B44" s="335" t="str">
        <f>IFERROR(VLOOKUP(A44,PO_R2,4,0),"")</f>
        <v>PAVIMENTAÇÃO EXTERNA</v>
      </c>
      <c r="C44" s="54" t="str">
        <f t="shared" si="15"/>
        <v/>
      </c>
      <c r="D44" s="54">
        <f t="shared" si="15"/>
        <v>0</v>
      </c>
      <c r="E44" s="54" t="str">
        <f t="shared" si="15"/>
        <v/>
      </c>
      <c r="F44" s="54" t="str">
        <f t="shared" si="15"/>
        <v/>
      </c>
      <c r="G44" s="54" t="str">
        <f t="shared" si="15"/>
        <v/>
      </c>
      <c r="H44" s="54" t="str">
        <f t="shared" si="15"/>
        <v/>
      </c>
      <c r="I44" s="337">
        <f>IFERROR(VLOOKUP(A44,PO_R2,12,0),"")</f>
        <v>0</v>
      </c>
      <c r="J44" s="339" t="str">
        <f>IFERROR(VLOOKUP(A44,PO_R2,13,0),"")</f>
        <v/>
      </c>
    </row>
    <row r="45" spans="1:12" ht="15" customHeight="1" x14ac:dyDescent="0.2">
      <c r="A45" s="342"/>
      <c r="B45" s="335"/>
      <c r="C45" s="72"/>
      <c r="D45" s="72">
        <v>1</v>
      </c>
      <c r="E45" s="72"/>
      <c r="F45" s="72"/>
      <c r="G45" s="72"/>
      <c r="H45" s="72"/>
      <c r="I45" s="337"/>
      <c r="J45" s="339"/>
      <c r="L45" s="6" t="str">
        <f t="shared" ref="L45" si="19">IF(SUM(C45:H45)=100%,"Ok","Revisar percentuais")</f>
        <v>Ok</v>
      </c>
    </row>
    <row r="46" spans="1:12" ht="15" customHeight="1" x14ac:dyDescent="0.2">
      <c r="A46" s="342">
        <v>20</v>
      </c>
      <c r="B46" s="335" t="str">
        <f>IFERROR(VLOOKUP(A46,PO_R2,4,0),"")</f>
        <v>PAVIMENTAÇÃO INTERNA</v>
      </c>
      <c r="C46" s="54" t="str">
        <f t="shared" si="15"/>
        <v/>
      </c>
      <c r="D46" s="54" t="str">
        <f t="shared" si="15"/>
        <v/>
      </c>
      <c r="E46" s="54" t="str">
        <f t="shared" si="15"/>
        <v/>
      </c>
      <c r="F46" s="54" t="str">
        <f t="shared" si="15"/>
        <v/>
      </c>
      <c r="G46" s="54" t="str">
        <f t="shared" si="15"/>
        <v/>
      </c>
      <c r="H46" s="54">
        <f t="shared" si="15"/>
        <v>0</v>
      </c>
      <c r="I46" s="337">
        <f>IFERROR(VLOOKUP(A46,PO_R2,12,0),"")</f>
        <v>0</v>
      </c>
      <c r="J46" s="339" t="str">
        <f>IFERROR(VLOOKUP(A46,PO_R2,13,0),"")</f>
        <v/>
      </c>
    </row>
    <row r="47" spans="1:12" ht="15" customHeight="1" x14ac:dyDescent="0.2">
      <c r="A47" s="342"/>
      <c r="B47" s="335"/>
      <c r="C47" s="72"/>
      <c r="D47" s="72"/>
      <c r="E47" s="72"/>
      <c r="F47" s="72"/>
      <c r="G47" s="72"/>
      <c r="H47" s="72">
        <v>1</v>
      </c>
      <c r="I47" s="337"/>
      <c r="J47" s="339"/>
      <c r="L47" s="6" t="str">
        <f t="shared" ref="L47" si="20">IF(SUM(C47:H47)=100%,"Ok","Revisar percentuais")</f>
        <v>Ok</v>
      </c>
    </row>
    <row r="48" spans="1:12" ht="15" customHeight="1" x14ac:dyDescent="0.2">
      <c r="A48" s="342">
        <v>21</v>
      </c>
      <c r="B48" s="335" t="str">
        <f>IFERROR(VLOOKUP(A48,PO_R2,4,0),"")</f>
        <v>PINTURA CABINE DE OPERAÇÕES: PAREDES EXTERNAS</v>
      </c>
      <c r="C48" s="54" t="str">
        <f t="shared" si="15"/>
        <v/>
      </c>
      <c r="D48" s="54" t="str">
        <f t="shared" si="15"/>
        <v/>
      </c>
      <c r="E48" s="54" t="str">
        <f t="shared" si="15"/>
        <v/>
      </c>
      <c r="F48" s="54" t="str">
        <f t="shared" si="15"/>
        <v/>
      </c>
      <c r="G48" s="54" t="str">
        <f t="shared" si="15"/>
        <v/>
      </c>
      <c r="H48" s="54">
        <f t="shared" si="15"/>
        <v>0</v>
      </c>
      <c r="I48" s="337">
        <f>IFERROR(VLOOKUP(A48,PO_R2,12,0),"")</f>
        <v>0</v>
      </c>
      <c r="J48" s="339" t="str">
        <f>IFERROR(VLOOKUP(A48,PO_R2,13,0),"")</f>
        <v/>
      </c>
    </row>
    <row r="49" spans="1:19" ht="15" customHeight="1" x14ac:dyDescent="0.2">
      <c r="A49" s="342"/>
      <c r="B49" s="335"/>
      <c r="C49" s="72"/>
      <c r="D49" s="72"/>
      <c r="E49" s="72"/>
      <c r="F49" s="72"/>
      <c r="G49" s="72"/>
      <c r="H49" s="72">
        <v>1</v>
      </c>
      <c r="I49" s="337"/>
      <c r="J49" s="339"/>
      <c r="L49" s="6" t="str">
        <f t="shared" ref="L49" si="21">IF(SUM(C49:H49)=100%,"Ok","Revisar percentuais")</f>
        <v>Ok</v>
      </c>
    </row>
    <row r="50" spans="1:19" ht="15" customHeight="1" x14ac:dyDescent="0.2">
      <c r="A50" s="342">
        <v>22</v>
      </c>
      <c r="B50" s="335" t="str">
        <f>IFERROR(VLOOKUP(A50,PO_R2,4,0),"")</f>
        <v>PINTURA CABINE DE OPERAÇÕES: PAREDES INTERNAS</v>
      </c>
      <c r="C50" s="54" t="str">
        <f t="shared" si="15"/>
        <v/>
      </c>
      <c r="D50" s="54" t="str">
        <f t="shared" si="15"/>
        <v/>
      </c>
      <c r="E50" s="54" t="str">
        <f t="shared" si="15"/>
        <v/>
      </c>
      <c r="F50" s="54" t="str">
        <f t="shared" si="15"/>
        <v/>
      </c>
      <c r="G50" s="54" t="str">
        <f t="shared" si="15"/>
        <v/>
      </c>
      <c r="H50" s="54">
        <f t="shared" si="15"/>
        <v>0</v>
      </c>
      <c r="I50" s="337">
        <f>IFERROR(VLOOKUP(A50,PO_R2,12,0),"")</f>
        <v>0</v>
      </c>
      <c r="J50" s="339" t="str">
        <f>IFERROR(VLOOKUP(A50,PO_R2,13,0),"")</f>
        <v/>
      </c>
    </row>
    <row r="51" spans="1:19" ht="15" customHeight="1" x14ac:dyDescent="0.2">
      <c r="A51" s="342"/>
      <c r="B51" s="335"/>
      <c r="C51" s="72"/>
      <c r="D51" s="72"/>
      <c r="E51" s="72"/>
      <c r="F51" s="72"/>
      <c r="G51" s="72"/>
      <c r="H51" s="72">
        <v>1</v>
      </c>
      <c r="I51" s="337"/>
      <c r="J51" s="339"/>
      <c r="L51" s="6" t="str">
        <f t="shared" ref="L51" si="22">IF(SUM(C51:H51)=100%,"Ok","Revisar percentuais")</f>
        <v>Ok</v>
      </c>
    </row>
    <row r="52" spans="1:19" ht="15" customHeight="1" x14ac:dyDescent="0.2">
      <c r="A52" s="342">
        <v>23</v>
      </c>
      <c r="B52" s="335" t="str">
        <f>IFERROR(VLOOKUP(A52,PO_R2,4,0),"")</f>
        <v>PINTURA CABINE DE OPERAÇÕES: PLATIBANDA</v>
      </c>
      <c r="C52" s="54" t="str">
        <f t="shared" si="15"/>
        <v/>
      </c>
      <c r="D52" s="54" t="str">
        <f t="shared" si="15"/>
        <v/>
      </c>
      <c r="E52" s="54" t="str">
        <f t="shared" si="15"/>
        <v/>
      </c>
      <c r="F52" s="54" t="str">
        <f t="shared" si="15"/>
        <v/>
      </c>
      <c r="G52" s="54" t="str">
        <f t="shared" si="15"/>
        <v/>
      </c>
      <c r="H52" s="54">
        <f t="shared" si="15"/>
        <v>0</v>
      </c>
      <c r="I52" s="337">
        <f>IFERROR(VLOOKUP(A52,PO_R2,12,0),"")</f>
        <v>0</v>
      </c>
      <c r="J52" s="339" t="str">
        <f>IFERROR(VLOOKUP(A52,PO_R2,13,0),"")</f>
        <v/>
      </c>
    </row>
    <row r="53" spans="1:19" ht="15" customHeight="1" x14ac:dyDescent="0.2">
      <c r="A53" s="342"/>
      <c r="B53" s="335"/>
      <c r="C53" s="72"/>
      <c r="D53" s="72"/>
      <c r="E53" s="72"/>
      <c r="F53" s="72"/>
      <c r="G53" s="72"/>
      <c r="H53" s="72">
        <v>1</v>
      </c>
      <c r="I53" s="337"/>
      <c r="J53" s="339"/>
      <c r="L53" s="6" t="str">
        <f t="shared" ref="L53" si="23">IF(SUM(C53:H53)=100%,"Ok","Revisar percentuais")</f>
        <v>Ok</v>
      </c>
    </row>
    <row r="54" spans="1:19" ht="15" customHeight="1" x14ac:dyDescent="0.2">
      <c r="A54" s="342">
        <v>24</v>
      </c>
      <c r="B54" s="335" t="str">
        <f>IFERROR(VLOOKUP(A54,PO_R2,4,0),"")</f>
        <v>PINTURA CABINE DE OPERAÇÕES: PISO INTERNO</v>
      </c>
      <c r="C54" s="54" t="str">
        <f t="shared" si="15"/>
        <v/>
      </c>
      <c r="D54" s="54" t="str">
        <f t="shared" si="15"/>
        <v/>
      </c>
      <c r="E54" s="54" t="str">
        <f t="shared" si="15"/>
        <v/>
      </c>
      <c r="F54" s="54" t="str">
        <f t="shared" si="15"/>
        <v/>
      </c>
      <c r="G54" s="54" t="str">
        <f t="shared" si="15"/>
        <v/>
      </c>
      <c r="H54" s="54">
        <f t="shared" si="15"/>
        <v>0</v>
      </c>
      <c r="I54" s="337">
        <f>IFERROR(VLOOKUP(A54,PO_R2,12,0),"")</f>
        <v>0</v>
      </c>
      <c r="J54" s="339" t="str">
        <f>IFERROR(VLOOKUP(A54,PO_R2,13,0),"")</f>
        <v/>
      </c>
    </row>
    <row r="55" spans="1:19" ht="15" customHeight="1" x14ac:dyDescent="0.2">
      <c r="A55" s="342"/>
      <c r="B55" s="335"/>
      <c r="C55" s="72"/>
      <c r="D55" s="72"/>
      <c r="E55" s="72"/>
      <c r="F55" s="72"/>
      <c r="G55" s="72"/>
      <c r="H55" s="72">
        <v>1</v>
      </c>
      <c r="I55" s="337"/>
      <c r="J55" s="339"/>
      <c r="L55" s="6" t="str">
        <f t="shared" ref="L55" si="24">IF(SUM(C55:H55)=100%,"Ok","Revisar percentuais")</f>
        <v>Ok</v>
      </c>
    </row>
    <row r="56" spans="1:19" ht="15" customHeight="1" x14ac:dyDescent="0.2">
      <c r="A56" s="342">
        <v>25</v>
      </c>
      <c r="B56" s="335" t="str">
        <f>IFERROR(VLOOKUP(A56,PO_R2,4,0),"")</f>
        <v>PINTURA CABINE DE OPERAÇÕES: ESQUADRIAS METÁLICAS</v>
      </c>
      <c r="C56" s="54" t="str">
        <f t="shared" si="15"/>
        <v/>
      </c>
      <c r="D56" s="54" t="str">
        <f t="shared" si="15"/>
        <v/>
      </c>
      <c r="E56" s="54" t="str">
        <f t="shared" si="15"/>
        <v/>
      </c>
      <c r="F56" s="54" t="str">
        <f t="shared" si="15"/>
        <v/>
      </c>
      <c r="G56" s="54" t="str">
        <f t="shared" si="15"/>
        <v/>
      </c>
      <c r="H56" s="54">
        <f t="shared" si="15"/>
        <v>0</v>
      </c>
      <c r="I56" s="337">
        <f>IFERROR(VLOOKUP(A56,PO_R2,12,0),"")</f>
        <v>0</v>
      </c>
      <c r="J56" s="339" t="str">
        <f>IFERROR(VLOOKUP(A56,PO_R2,13,0),"")</f>
        <v/>
      </c>
    </row>
    <row r="57" spans="1:19" ht="15" customHeight="1" x14ac:dyDescent="0.2">
      <c r="A57" s="342"/>
      <c r="B57" s="335"/>
      <c r="C57" s="72"/>
      <c r="D57" s="72"/>
      <c r="E57" s="72"/>
      <c r="F57" s="72"/>
      <c r="G57" s="72"/>
      <c r="H57" s="72">
        <v>1</v>
      </c>
      <c r="I57" s="337"/>
      <c r="J57" s="339"/>
      <c r="L57" s="6" t="str">
        <f t="shared" ref="L57" si="25">IF(SUM(C57:H57)=100%,"Ok","Revisar percentuais")</f>
        <v>Ok</v>
      </c>
    </row>
    <row r="58" spans="1:19" ht="15" customHeight="1" x14ac:dyDescent="0.2">
      <c r="A58" s="342">
        <v>26</v>
      </c>
      <c r="B58" s="335" t="str">
        <f>IFERROR(VLOOKUP(A58,PO_R2,4,0),"")</f>
        <v>SERVIÇOS COMPLEMENTARES</v>
      </c>
      <c r="C58" s="54" t="str">
        <f t="shared" si="15"/>
        <v/>
      </c>
      <c r="D58" s="54" t="str">
        <f t="shared" si="15"/>
        <v/>
      </c>
      <c r="E58" s="54" t="str">
        <f t="shared" si="15"/>
        <v/>
      </c>
      <c r="F58" s="54" t="str">
        <f t="shared" si="15"/>
        <v/>
      </c>
      <c r="G58" s="54" t="str">
        <f t="shared" si="15"/>
        <v/>
      </c>
      <c r="H58" s="54">
        <f t="shared" si="15"/>
        <v>0</v>
      </c>
      <c r="I58" s="337">
        <f>IFERROR(VLOOKUP(A58,PO_R2,12,0),"")</f>
        <v>0</v>
      </c>
      <c r="J58" s="339" t="str">
        <f>IFERROR(VLOOKUP(A58,PO_R2,13,0),"")</f>
        <v/>
      </c>
    </row>
    <row r="59" spans="1:19" ht="15" customHeight="1" x14ac:dyDescent="0.2">
      <c r="A59" s="342"/>
      <c r="B59" s="335"/>
      <c r="C59" s="72"/>
      <c r="D59" s="72"/>
      <c r="E59" s="72"/>
      <c r="F59" s="72"/>
      <c r="G59" s="72"/>
      <c r="H59" s="72">
        <v>1</v>
      </c>
      <c r="I59" s="337"/>
      <c r="J59" s="339"/>
      <c r="L59" s="6" t="str">
        <f t="shared" ref="L59" si="26">IF(SUM(C59:H59)=100%,"Ok","Revisar percentuais")</f>
        <v>Ok</v>
      </c>
    </row>
    <row r="60" spans="1:19" ht="15" customHeight="1" x14ac:dyDescent="0.2">
      <c r="A60" s="342">
        <v>27</v>
      </c>
      <c r="B60" s="335" t="str">
        <f>IFERROR(VLOOKUP(A60,PO_R2,4,0),"")</f>
        <v>ELABORAÇÃO DE VIDEO PUBLICITÁRIO E PRESSRELEASE</v>
      </c>
      <c r="C60" s="54" t="str">
        <f t="shared" si="15"/>
        <v/>
      </c>
      <c r="D60" s="54" t="str">
        <f t="shared" si="15"/>
        <v/>
      </c>
      <c r="E60" s="54" t="str">
        <f t="shared" si="15"/>
        <v/>
      </c>
      <c r="F60" s="54" t="str">
        <f t="shared" si="15"/>
        <v/>
      </c>
      <c r="G60" s="54" t="str">
        <f t="shared" si="15"/>
        <v/>
      </c>
      <c r="H60" s="54">
        <f t="shared" si="15"/>
        <v>0</v>
      </c>
      <c r="I60" s="337">
        <f>IFERROR(VLOOKUP(A60,PO_R2,12,0),"")</f>
        <v>0</v>
      </c>
      <c r="J60" s="339" t="str">
        <f>IFERROR(VLOOKUP(A60,PO_R2,13,0),"")</f>
        <v/>
      </c>
    </row>
    <row r="61" spans="1:19" ht="15" customHeight="1" x14ac:dyDescent="0.2">
      <c r="A61" s="343"/>
      <c r="B61" s="336"/>
      <c r="C61" s="73"/>
      <c r="D61" s="73"/>
      <c r="E61" s="73"/>
      <c r="F61" s="73"/>
      <c r="G61" s="73"/>
      <c r="H61" s="73">
        <v>1</v>
      </c>
      <c r="I61" s="338"/>
      <c r="J61" s="340"/>
      <c r="L61" s="6" t="str">
        <f>IF(SUM(C61:H61)=100%,"Ok","Revisar percentuais")</f>
        <v>Ok</v>
      </c>
    </row>
    <row r="62" spans="1:19" ht="15" customHeight="1" x14ac:dyDescent="0.2">
      <c r="A62" s="46"/>
      <c r="B62" s="47"/>
      <c r="C62" s="48"/>
      <c r="D62" s="48"/>
      <c r="E62" s="48"/>
      <c r="F62" s="48"/>
      <c r="G62" s="48"/>
      <c r="H62" s="49"/>
      <c r="I62" s="50"/>
      <c r="J62" s="51"/>
    </row>
    <row r="63" spans="1:19" s="7" customFormat="1" ht="15" customHeight="1" x14ac:dyDescent="0.2">
      <c r="A63" s="344" t="s">
        <v>423</v>
      </c>
      <c r="B63" s="344"/>
      <c r="C63" s="165">
        <f>SUM(C8,C10,C12,C14,C16,C18,C20,C22,C24,C26,C28,C30,C32,C34,C36,C38,C40,C42,C44,C46,C48,C50,C52,C54,C56,C58,C60)</f>
        <v>0</v>
      </c>
      <c r="D63" s="165">
        <f t="shared" ref="D63:H63" si="27">SUM(D8,D10,D12,D14,D16,D18,D20,D22,D24,D26,D28,D30,D32,D34,D36,D38,D40,D42,D44,D46,D48,D50,D52,D54,D56,D58,D60)</f>
        <v>0</v>
      </c>
      <c r="E63" s="165">
        <f t="shared" si="27"/>
        <v>0</v>
      </c>
      <c r="F63" s="165">
        <f t="shared" si="27"/>
        <v>0</v>
      </c>
      <c r="G63" s="165">
        <f t="shared" si="27"/>
        <v>0</v>
      </c>
      <c r="H63" s="165">
        <f t="shared" si="27"/>
        <v>0</v>
      </c>
      <c r="I63" s="346">
        <f>IF(SUM(I8:I61)='ANEXO IX.1 - ORÇAMENTO'!L207,SUM(I8:I61),"ERRO")</f>
        <v>0</v>
      </c>
      <c r="J63" s="348">
        <f>SUM(J8:J61)</f>
        <v>0</v>
      </c>
      <c r="K63" s="13"/>
      <c r="N63" s="6"/>
      <c r="O63" s="6"/>
      <c r="P63" s="6"/>
      <c r="Q63" s="6"/>
      <c r="R63" s="6"/>
      <c r="S63" s="6"/>
    </row>
    <row r="64" spans="1:19" s="7" customFormat="1" ht="15" customHeight="1" x14ac:dyDescent="0.2">
      <c r="A64" s="345"/>
      <c r="B64" s="345"/>
      <c r="C64" s="166" t="e">
        <f t="shared" ref="C64:H64" si="28">C63/$I$63</f>
        <v>#DIV/0!</v>
      </c>
      <c r="D64" s="166" t="e">
        <f t="shared" si="28"/>
        <v>#DIV/0!</v>
      </c>
      <c r="E64" s="166" t="e">
        <f t="shared" si="28"/>
        <v>#DIV/0!</v>
      </c>
      <c r="F64" s="166" t="e">
        <f t="shared" si="28"/>
        <v>#DIV/0!</v>
      </c>
      <c r="G64" s="166" t="e">
        <f t="shared" si="28"/>
        <v>#DIV/0!</v>
      </c>
      <c r="H64" s="166" t="e">
        <f t="shared" si="28"/>
        <v>#DIV/0!</v>
      </c>
      <c r="I64" s="347"/>
      <c r="J64" s="345"/>
      <c r="K64" s="13"/>
      <c r="N64" s="6"/>
      <c r="O64" s="6"/>
      <c r="P64" s="6"/>
      <c r="Q64" s="6"/>
      <c r="R64" s="6"/>
      <c r="S64" s="6"/>
    </row>
    <row r="65" spans="1:19" s="7" customFormat="1" ht="15" customHeight="1" x14ac:dyDescent="0.2">
      <c r="A65" s="349" t="s">
        <v>424</v>
      </c>
      <c r="B65" s="349"/>
      <c r="C65" s="68">
        <f>C63</f>
        <v>0</v>
      </c>
      <c r="D65" s="68">
        <f t="shared" ref="D65:F65" si="29">C65+D63</f>
        <v>0</v>
      </c>
      <c r="E65" s="68">
        <f t="shared" si="29"/>
        <v>0</v>
      </c>
      <c r="F65" s="68">
        <f t="shared" si="29"/>
        <v>0</v>
      </c>
      <c r="G65" s="68">
        <f>F65+G63</f>
        <v>0</v>
      </c>
      <c r="H65" s="68">
        <f>G65+H63</f>
        <v>0</v>
      </c>
      <c r="I65" s="351"/>
      <c r="J65" s="349"/>
      <c r="K65" s="13"/>
    </row>
    <row r="66" spans="1:19" s="7" customFormat="1" ht="15" customHeight="1" x14ac:dyDescent="0.2">
      <c r="A66" s="350"/>
      <c r="B66" s="350"/>
      <c r="C66" s="52" t="e">
        <f t="shared" ref="C66:H66" si="30">C65/$I$63</f>
        <v>#DIV/0!</v>
      </c>
      <c r="D66" s="52" t="e">
        <f t="shared" si="30"/>
        <v>#DIV/0!</v>
      </c>
      <c r="E66" s="52" t="e">
        <f t="shared" si="30"/>
        <v>#DIV/0!</v>
      </c>
      <c r="F66" s="52" t="e">
        <f t="shared" si="30"/>
        <v>#DIV/0!</v>
      </c>
      <c r="G66" s="52" t="e">
        <f t="shared" si="30"/>
        <v>#DIV/0!</v>
      </c>
      <c r="H66" s="52" t="e">
        <f t="shared" si="30"/>
        <v>#DIV/0!</v>
      </c>
      <c r="I66" s="352"/>
      <c r="J66" s="350"/>
      <c r="K66" s="13"/>
    </row>
    <row r="67" spans="1:19" ht="15" customHeight="1" x14ac:dyDescent="0.2"/>
    <row r="68" spans="1:19" ht="15" customHeight="1" x14ac:dyDescent="0.2">
      <c r="A68" s="341" t="str">
        <f>'ANEXO IX.1 - ORÇAMENTO'!A210</f>
        <v>[LOCAL E DATA]</v>
      </c>
      <c r="B68" s="341"/>
      <c r="C68" s="341"/>
      <c r="D68" s="341"/>
      <c r="E68" s="341"/>
      <c r="F68" s="341"/>
      <c r="G68" s="341"/>
      <c r="H68" s="341"/>
      <c r="I68" s="341"/>
      <c r="J68" s="341"/>
    </row>
    <row r="69" spans="1:19" ht="15" customHeight="1" x14ac:dyDescent="0.2">
      <c r="B69" s="195"/>
      <c r="C69"/>
      <c r="D69" s="112"/>
      <c r="E69"/>
      <c r="F69"/>
      <c r="G69" s="195" t="s">
        <v>516</v>
      </c>
      <c r="H69"/>
      <c r="J69"/>
    </row>
    <row r="70" spans="1:19" ht="15" customHeight="1" x14ac:dyDescent="0.2">
      <c r="B70"/>
      <c r="C70"/>
      <c r="D70" s="112"/>
      <c r="E70"/>
      <c r="F70"/>
      <c r="G70"/>
      <c r="H70"/>
      <c r="J70"/>
    </row>
    <row r="71" spans="1:19" x14ac:dyDescent="0.2">
      <c r="B71"/>
      <c r="C71"/>
      <c r="D71" s="112"/>
      <c r="E71"/>
      <c r="F71"/>
      <c r="G71"/>
      <c r="H71"/>
      <c r="J71"/>
    </row>
    <row r="72" spans="1:19" x14ac:dyDescent="0.2">
      <c r="B72"/>
      <c r="C72"/>
      <c r="D72" s="112"/>
      <c r="E72"/>
      <c r="F72"/>
      <c r="G72"/>
      <c r="H72"/>
      <c r="J72"/>
    </row>
    <row r="73" spans="1:19" x14ac:dyDescent="0.2">
      <c r="B73"/>
      <c r="C73"/>
      <c r="D73" s="112"/>
      <c r="E73"/>
      <c r="F73"/>
      <c r="G73" s="232" t="str">
        <f>'ANEXO IX.1 - ORÇAMENTO'!$I$217</f>
        <v>[NOME DO REPRESENTANTE LEGAL]</v>
      </c>
      <c r="H73"/>
      <c r="J73"/>
    </row>
    <row r="74" spans="1:19" s="8" customFormat="1" x14ac:dyDescent="0.2">
      <c r="B74" s="195"/>
      <c r="C74"/>
      <c r="D74" s="112"/>
      <c r="E74"/>
      <c r="F74"/>
      <c r="G74" s="248" t="str">
        <f>'ANEXO IX.1 - ORÇAMENTO'!$I$218</f>
        <v>[CARGO]</v>
      </c>
      <c r="H74"/>
      <c r="J74"/>
      <c r="K74" s="14"/>
    </row>
    <row r="75" spans="1:19" s="4" customFormat="1" x14ac:dyDescent="0.2">
      <c r="A75" s="193"/>
      <c r="B75" s="184"/>
      <c r="C75"/>
      <c r="D75" s="112"/>
      <c r="E75"/>
      <c r="F75"/>
      <c r="G75" s="249" t="str">
        <f>'ANEXO IX.1 - ORÇAMENTO'!$I$219</f>
        <v>[NOME DA EMPRESA]</v>
      </c>
      <c r="H75"/>
      <c r="J75"/>
      <c r="K75" s="15"/>
      <c r="L75" s="193"/>
      <c r="M75" s="193"/>
      <c r="N75" s="193"/>
      <c r="O75" s="193"/>
      <c r="P75" s="193"/>
      <c r="Q75" s="193"/>
      <c r="R75" s="193"/>
      <c r="S75" s="193"/>
    </row>
    <row r="76" spans="1:19" x14ac:dyDescent="0.2">
      <c r="A76" s="9"/>
      <c r="B76"/>
      <c r="C76"/>
      <c r="D76" s="112"/>
      <c r="E76"/>
      <c r="F76"/>
      <c r="G76" s="233" t="str">
        <f>'ANEXO IX.1 - ORÇAMENTO'!$I$220</f>
        <v>[CNPJ N° ]</v>
      </c>
      <c r="H76"/>
      <c r="J76"/>
    </row>
    <row r="129" spans="1:1" x14ac:dyDescent="0.2">
      <c r="A129" s="9"/>
    </row>
  </sheetData>
  <mergeCells count="122">
    <mergeCell ref="A56:A57"/>
    <mergeCell ref="B56:B57"/>
    <mergeCell ref="I56:I57"/>
    <mergeCell ref="J56:J57"/>
    <mergeCell ref="A52:A53"/>
    <mergeCell ref="B52:B53"/>
    <mergeCell ref="I52:I53"/>
    <mergeCell ref="J52:J53"/>
    <mergeCell ref="A54:A55"/>
    <mergeCell ref="B54:B55"/>
    <mergeCell ref="I54:I55"/>
    <mergeCell ref="J54:J55"/>
    <mergeCell ref="A48:A49"/>
    <mergeCell ref="B48:B49"/>
    <mergeCell ref="I48:I49"/>
    <mergeCell ref="J48:J49"/>
    <mergeCell ref="A50:A51"/>
    <mergeCell ref="B50:B51"/>
    <mergeCell ref="I50:I51"/>
    <mergeCell ref="J50:J51"/>
    <mergeCell ref="A44:A45"/>
    <mergeCell ref="B44:B45"/>
    <mergeCell ref="I44:I45"/>
    <mergeCell ref="J44:J45"/>
    <mergeCell ref="A46:A47"/>
    <mergeCell ref="B46:B47"/>
    <mergeCell ref="I46:I47"/>
    <mergeCell ref="J46:J47"/>
    <mergeCell ref="A40:A41"/>
    <mergeCell ref="B40:B41"/>
    <mergeCell ref="I40:I41"/>
    <mergeCell ref="J40:J41"/>
    <mergeCell ref="A42:A43"/>
    <mergeCell ref="B42:B43"/>
    <mergeCell ref="I42:I43"/>
    <mergeCell ref="J42:J43"/>
    <mergeCell ref="A36:A37"/>
    <mergeCell ref="B36:B37"/>
    <mergeCell ref="I36:I37"/>
    <mergeCell ref="J36:J37"/>
    <mergeCell ref="A38:A39"/>
    <mergeCell ref="B38:B39"/>
    <mergeCell ref="I38:I39"/>
    <mergeCell ref="J38:J39"/>
    <mergeCell ref="A34:A35"/>
    <mergeCell ref="B34:B35"/>
    <mergeCell ref="I34:I35"/>
    <mergeCell ref="J34:J35"/>
    <mergeCell ref="A28:A29"/>
    <mergeCell ref="B28:B29"/>
    <mergeCell ref="I28:I29"/>
    <mergeCell ref="J28:J29"/>
    <mergeCell ref="A30:A31"/>
    <mergeCell ref="B30:B31"/>
    <mergeCell ref="I30:I31"/>
    <mergeCell ref="J30:J31"/>
    <mergeCell ref="A58:A59"/>
    <mergeCell ref="B58:B59"/>
    <mergeCell ref="I58:I59"/>
    <mergeCell ref="J58:J59"/>
    <mergeCell ref="A20:A21"/>
    <mergeCell ref="B20:B21"/>
    <mergeCell ref="I20:I21"/>
    <mergeCell ref="J20:J21"/>
    <mergeCell ref="A24:A25"/>
    <mergeCell ref="B24:B25"/>
    <mergeCell ref="I24:I25"/>
    <mergeCell ref="J24:J25"/>
    <mergeCell ref="A26:A27"/>
    <mergeCell ref="B26:B27"/>
    <mergeCell ref="I26:I27"/>
    <mergeCell ref="J26:J27"/>
    <mergeCell ref="A22:A23"/>
    <mergeCell ref="B22:B23"/>
    <mergeCell ref="I22:I23"/>
    <mergeCell ref="J22:J23"/>
    <mergeCell ref="A32:A33"/>
    <mergeCell ref="B32:B33"/>
    <mergeCell ref="I32:I33"/>
    <mergeCell ref="J32:J33"/>
    <mergeCell ref="B10:B11"/>
    <mergeCell ref="J10:J11"/>
    <mergeCell ref="J18:J19"/>
    <mergeCell ref="A16:A17"/>
    <mergeCell ref="B16:B17"/>
    <mergeCell ref="I16:I17"/>
    <mergeCell ref="J16:J17"/>
    <mergeCell ref="A18:A19"/>
    <mergeCell ref="B18:B19"/>
    <mergeCell ref="I18:I19"/>
    <mergeCell ref="A12:A13"/>
    <mergeCell ref="B12:B13"/>
    <mergeCell ref="I12:I13"/>
    <mergeCell ref="J12:J13"/>
    <mergeCell ref="A14:A15"/>
    <mergeCell ref="B14:B15"/>
    <mergeCell ref="I14:I15"/>
    <mergeCell ref="J14:J15"/>
    <mergeCell ref="B1:F1"/>
    <mergeCell ref="B60:B61"/>
    <mergeCell ref="I60:I61"/>
    <mergeCell ref="J60:J61"/>
    <mergeCell ref="A68:J68"/>
    <mergeCell ref="A60:A61"/>
    <mergeCell ref="A63:B64"/>
    <mergeCell ref="I63:I64"/>
    <mergeCell ref="J63:J64"/>
    <mergeCell ref="A65:B66"/>
    <mergeCell ref="I65:I66"/>
    <mergeCell ref="J65:J66"/>
    <mergeCell ref="A8:A9"/>
    <mergeCell ref="B8:B9"/>
    <mergeCell ref="J8:J9"/>
    <mergeCell ref="A6:A7"/>
    <mergeCell ref="B6:B7"/>
    <mergeCell ref="C6:H6"/>
    <mergeCell ref="I6:I7"/>
    <mergeCell ref="J6:J7"/>
    <mergeCell ref="I8:I9"/>
    <mergeCell ref="G1:J1"/>
    <mergeCell ref="I10:I11"/>
    <mergeCell ref="A10:A11"/>
  </mergeCells>
  <conditionalFormatting sqref="C8:H8 C10:H10 C12:H12 C14:H14 C16:H16 C18:H18 C20:H20 C22:H22">
    <cfRule type="notContainsBlanks" dxfId="3" priority="8">
      <formula>LEN(TRIM(C8))&gt;0</formula>
    </cfRule>
  </conditionalFormatting>
  <conditionalFormatting sqref="C24:H24 C26:H26 C28:H28 C30:H30 C32:H32 C34:H34 C36:H36 C38:H38 C40:H40 C42:H42 C44:H44 C46:H46 C48:H48">
    <cfRule type="notContainsBlanks" dxfId="2" priority="3">
      <formula>LEN(TRIM(C24))&gt;0</formula>
    </cfRule>
  </conditionalFormatting>
  <conditionalFormatting sqref="C50:H50 C52:H52 C54:H54 C56:H56 C58:H58">
    <cfRule type="notContainsBlanks" dxfId="1" priority="2">
      <formula>LEN(TRIM(C50))&gt;0</formula>
    </cfRule>
  </conditionalFormatting>
  <conditionalFormatting sqref="C60:H60">
    <cfRule type="notContainsBlanks" dxfId="0" priority="1">
      <formula>LEN(TRIM(C60))&gt;0</formula>
    </cfRule>
  </conditionalFormatting>
  <printOptions horizontalCentered="1"/>
  <pageMargins left="0.78740157480314965" right="0.59055118110236227" top="0.59055118110236227" bottom="0.39370078740157483" header="0.39370078740157483" footer="0.19685039370078741"/>
  <pageSetup paperSize="9" scale="71" firstPageNumber="0" fitToHeight="0" orientation="landscape" r:id="rId1"/>
  <headerFooter>
    <oddHeader>&amp;F</oddHeader>
    <oddFooter>Página &amp;P de &amp;N</oddFooter>
  </headerFooter>
  <rowBreaks count="1" manualBreakCount="1">
    <brk id="4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9</vt:i4>
      </vt:variant>
    </vt:vector>
  </HeadingPairs>
  <TitlesOfParts>
    <vt:vector size="13" baseType="lpstr">
      <vt:lpstr>ANEXO IX.1 - ORÇAMENTO</vt:lpstr>
      <vt:lpstr>ANEXO IX.2 - BDI</vt:lpstr>
      <vt:lpstr>ANEXO IX.3 - COMPOSIÇÕES</vt:lpstr>
      <vt:lpstr>ANEXO IX.4 - CRONOGRAMA</vt:lpstr>
      <vt:lpstr>'ANEXO IX.1 - ORÇAMENTO'!Area_de_impressao</vt:lpstr>
      <vt:lpstr>'ANEXO IX.2 - BDI'!Area_de_impressao</vt:lpstr>
      <vt:lpstr>'ANEXO IX.3 - COMPOSIÇÕES'!Area_de_impressao</vt:lpstr>
      <vt:lpstr>'ANEXO IX.4 - CRONOGRAMA'!Area_de_impressao</vt:lpstr>
      <vt:lpstr>'ANEXO IX.1 - ORÇAMENTO'!PO</vt:lpstr>
      <vt:lpstr>PO_R2</vt:lpstr>
      <vt:lpstr>'ANEXO IX.1 - ORÇAMENTO'!Titulos_de_impressao</vt:lpstr>
      <vt:lpstr>'ANEXO IX.2 - BDI'!Titulos_de_impressao</vt:lpstr>
      <vt:lpstr>'ANEXO IX.4 - CRONOGRAMA'!Titulos_de_impressao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gpp002</cp:lastModifiedBy>
  <cp:revision>4</cp:revision>
  <cp:lastPrinted>2026-08-27T15:01:43Z</cp:lastPrinted>
  <dcterms:created xsi:type="dcterms:W3CDTF">2009-09-26T22:55:12Z</dcterms:created>
  <dcterms:modified xsi:type="dcterms:W3CDTF">2026-08-27T17:03:18Z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