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LICITAÇÕES\EDITAIS DE PREGÃO ELETRÔNICO\Editais de Concorrência Eletrônica 2024\"/>
    </mc:Choice>
  </mc:AlternateContent>
  <bookViews>
    <workbookView xWindow="0" yWindow="0" windowWidth="28800" windowHeight="12435" tabRatio="656"/>
  </bookViews>
  <sheets>
    <sheet name="Orçamento Bacia I" sheetId="2" r:id="rId1"/>
    <sheet name="Orçamento Bacia II" sheetId="7" r:id="rId2"/>
    <sheet name="Orçamento Bacia III" sheetId="8" r:id="rId3"/>
    <sheet name="Orçamento Bacia IV" sheetId="9" r:id="rId4"/>
    <sheet name="Sintético" sheetId="4" r:id="rId5"/>
    <sheet name="CRONOGRAMA" sheetId="3" r:id="rId6"/>
    <sheet name="BDI" sheetId="5" r:id="rId7"/>
  </sheets>
  <externalReferences>
    <externalReference r:id="rId8"/>
    <externalReference r:id="rId9"/>
    <externalReference r:id="rId10"/>
  </externalReferences>
  <definedNames>
    <definedName name="AC">[1]DADOS!$A$12:$D$16</definedName>
    <definedName name="_xlnm.Print_Area" localSheetId="6">BDI!$A$1:$H$71</definedName>
    <definedName name="_xlnm.Print_Area" localSheetId="5">CRONOGRAMA!$A$1:$J$39</definedName>
    <definedName name="_xlnm.Print_Area" localSheetId="0">'Orçamento Bacia I'!$A$1:$J$61</definedName>
    <definedName name="_xlnm.Print_Area" localSheetId="1">'Orçamento Bacia II'!$A$1:$J$61</definedName>
    <definedName name="_xlnm.Print_Area" localSheetId="2">'Orçamento Bacia III'!$A$1:$J$61</definedName>
    <definedName name="_xlnm.Print_Area" localSheetId="3">'Orçamento Bacia IV'!$A$1:$J$61</definedName>
    <definedName name="_xlnm.Print_Area" localSheetId="4">Sintético!$A$1:$D$18</definedName>
    <definedName name="BDI.Opcao" hidden="1">[2]DADOS!$F$18</definedName>
    <definedName name="BDI.TipoObra" hidden="1">[2]BDI!$A$138:$A$146</definedName>
    <definedName name="COMPOSIÇÕES">[3]COMPOSIÇÕES!$C$10:$H$65</definedName>
    <definedName name="COTAÇÕES">#REF!</definedName>
    <definedName name="CPU" localSheetId="1">#REF!</definedName>
    <definedName name="CPU" localSheetId="2">#REF!</definedName>
    <definedName name="CPU" localSheetId="3">#REF!</definedName>
    <definedName name="CPU" localSheetId="4">#REF!</definedName>
    <definedName name="CPU">#REF!</definedName>
    <definedName name="DESONERACAO" localSheetId="6" hidden="1">IF(OR(Import.Desoneracao="DESONERADO",Import.Desoneracao="SIM"),"SIM","NÃO")</definedName>
    <definedName name="DESONERACAO" hidden="1">IF(OR(Import.Desoneracao="DESONERADO",Import.Desoneracao="SIM"),"SIM","NÃO")</definedName>
    <definedName name="DF">[1]DADOS!$A$32:$D$37</definedName>
    <definedName name="HTML_CodePage">437</definedName>
    <definedName name="HTML_Control" localSheetId="6">{"'Armação'!$A$1:$A$2"}</definedName>
    <definedName name="HTML_Control">{"'Armação'!$A$1:$A$2"}</definedName>
    <definedName name="HTML_Description">""</definedName>
    <definedName name="HTML_Email">""</definedName>
    <definedName name="HTML_Header">"Armação"</definedName>
    <definedName name="HTML_LastUpdate">"21/03/98"</definedName>
    <definedName name="HTML_LineAfter">0</definedName>
    <definedName name="HTML_LineBefore">0</definedName>
    <definedName name="HTML_Name">"Gustavo"</definedName>
    <definedName name="HTML_OBDlg2">1</definedName>
    <definedName name="HTML_OBDlg4">1</definedName>
    <definedName name="HTML_OS">0</definedName>
    <definedName name="HTML_PathFile">"C:\Meus Documentos\MeuHTML.htm"</definedName>
    <definedName name="HTML_Title">"Modêlo Tabela de Armação"</definedName>
    <definedName name="Import.Desoneracao" hidden="1">OFFSET([2]DADOS!$G$18,0,-1)</definedName>
    <definedName name="LUCRO">[1]DADOS!$A$39:$D$44</definedName>
    <definedName name="PO">[1]ORÇAMENTO!$A$10:$K$133</definedName>
    <definedName name="RISCO">[1]DADOS!$A$25:$D$30</definedName>
    <definedName name="SG">[1]DADOS!$A$17:$D$23</definedName>
    <definedName name="TIP_OBRA">[1]DADOS!$A$4:$A$9</definedName>
    <definedName name="_xlnm.Print_Titles" localSheetId="0">'Orçamento Bacia I'!$1:$6</definedName>
    <definedName name="_xlnm.Print_Titles" localSheetId="1">'Orçamento Bacia II'!$1:$6</definedName>
    <definedName name="_xlnm.Print_Titles" localSheetId="2">'Orçamento Bacia III'!$1:$6</definedName>
    <definedName name="_xlnm.Print_Titles" localSheetId="3">'Orçamento Bacia IV'!$1:$6</definedName>
    <definedName name="_xlnm.Print_Titles" localSheetId="4">Sintético!$1:$6</definedName>
    <definedName name="VALOR_BDI">[1]DADOS!$A$4:$D$9</definedName>
  </definedNames>
  <calcPr calcId="152511" iterateDelta="1E-4"/>
</workbook>
</file>

<file path=xl/calcChain.xml><?xml version="1.0" encoding="utf-8"?>
<calcChain xmlns="http://schemas.openxmlformats.org/spreadsheetml/2006/main">
  <c r="H29" i="9" l="1"/>
  <c r="I29" i="9" s="1"/>
  <c r="H29" i="8"/>
  <c r="I29" i="8" s="1"/>
  <c r="H29" i="7"/>
  <c r="I29" i="7" s="1"/>
  <c r="F17" i="7"/>
  <c r="H29" i="2"/>
  <c r="I29" i="2" s="1"/>
  <c r="H13" i="2"/>
  <c r="H12" i="2"/>
  <c r="H7" i="2"/>
  <c r="I7" i="2" s="1"/>
  <c r="H8" i="2"/>
  <c r="I8" i="2" s="1"/>
  <c r="H9" i="2"/>
  <c r="I9" i="2" s="1"/>
  <c r="H10" i="2"/>
  <c r="I10" i="2" s="1"/>
  <c r="D59" i="5" l="1"/>
  <c r="C61" i="5" s="1"/>
  <c r="A69" i="5"/>
  <c r="D60" i="5"/>
  <c r="B3" i="5" l="1"/>
  <c r="A38" i="3"/>
  <c r="B6" i="3"/>
  <c r="H57" i="9"/>
  <c r="I57" i="9" s="1"/>
  <c r="H55" i="9"/>
  <c r="I55" i="9" s="1"/>
  <c r="H54" i="9"/>
  <c r="I54" i="9" s="1"/>
  <c r="H53" i="9"/>
  <c r="I53" i="9" s="1"/>
  <c r="H52" i="9"/>
  <c r="I52" i="9" s="1"/>
  <c r="H51" i="9"/>
  <c r="I51" i="9" s="1"/>
  <c r="H49" i="9"/>
  <c r="I49" i="9" s="1"/>
  <c r="H48" i="9"/>
  <c r="I48" i="9" s="1"/>
  <c r="H46" i="9"/>
  <c r="I46" i="9" s="1"/>
  <c r="H45" i="9"/>
  <c r="I45" i="9" s="1"/>
  <c r="H44" i="9"/>
  <c r="I44" i="9" s="1"/>
  <c r="H42" i="9"/>
  <c r="I42" i="9" s="1"/>
  <c r="H41" i="9"/>
  <c r="I41" i="9" s="1"/>
  <c r="H40" i="9"/>
  <c r="I40" i="9" s="1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1" i="9"/>
  <c r="I31" i="9" s="1"/>
  <c r="H30" i="9"/>
  <c r="I30" i="9" s="1"/>
  <c r="H28" i="9"/>
  <c r="I28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3" i="9"/>
  <c r="I13" i="9" s="1"/>
  <c r="H12" i="9"/>
  <c r="I12" i="9" s="1"/>
  <c r="H10" i="9"/>
  <c r="I10" i="9" s="1"/>
  <c r="H9" i="9"/>
  <c r="I9" i="9" s="1"/>
  <c r="H8" i="9"/>
  <c r="I8" i="9" s="1"/>
  <c r="H7" i="9"/>
  <c r="I7" i="9" s="1"/>
  <c r="B6" i="5" l="1"/>
  <c r="I47" i="9"/>
  <c r="I11" i="9"/>
  <c r="I6" i="9"/>
  <c r="I14" i="9"/>
  <c r="I27" i="9"/>
  <c r="I50" i="9"/>
  <c r="I32" i="9"/>
  <c r="I43" i="9"/>
  <c r="I56" i="9"/>
  <c r="I59" i="9" l="1"/>
  <c r="I6" i="4" l="1"/>
  <c r="J29" i="9"/>
  <c r="J52" i="9"/>
  <c r="J49" i="9"/>
  <c r="J46" i="9"/>
  <c r="J39" i="9"/>
  <c r="J35" i="9"/>
  <c r="J24" i="9"/>
  <c r="J20" i="9"/>
  <c r="J16" i="9"/>
  <c r="J13" i="9"/>
  <c r="J10" i="9"/>
  <c r="J15" i="9"/>
  <c r="J38" i="9"/>
  <c r="J31" i="9"/>
  <c r="J23" i="9"/>
  <c r="J55" i="9"/>
  <c r="J51" i="9"/>
  <c r="J48" i="9"/>
  <c r="J45" i="9"/>
  <c r="J42" i="9"/>
  <c r="J34" i="9"/>
  <c r="J19" i="9"/>
  <c r="J12" i="9"/>
  <c r="J9" i="9"/>
  <c r="J22" i="9"/>
  <c r="J44" i="9"/>
  <c r="J18" i="9"/>
  <c r="J30" i="9"/>
  <c r="J17" i="9"/>
  <c r="J28" i="9"/>
  <c r="J54" i="9"/>
  <c r="J25" i="9"/>
  <c r="J33" i="9"/>
  <c r="J7" i="9"/>
  <c r="J57" i="9"/>
  <c r="J56" i="9" s="1"/>
  <c r="J37" i="9"/>
  <c r="J40" i="9"/>
  <c r="J36" i="9"/>
  <c r="J41" i="9"/>
  <c r="J8" i="9"/>
  <c r="J21" i="9"/>
  <c r="J53" i="9"/>
  <c r="J11" i="9" l="1"/>
  <c r="J32" i="9"/>
  <c r="J50" i="9"/>
  <c r="J14" i="9"/>
  <c r="J6" i="9"/>
  <c r="J27" i="9"/>
  <c r="J43" i="9"/>
  <c r="J47" i="9"/>
  <c r="J59" i="9" l="1"/>
  <c r="H57" i="8" l="1"/>
  <c r="I57" i="8" s="1"/>
  <c r="H55" i="8"/>
  <c r="I55" i="8" s="1"/>
  <c r="H54" i="8"/>
  <c r="I54" i="8" s="1"/>
  <c r="H53" i="8"/>
  <c r="I53" i="8" s="1"/>
  <c r="H52" i="8"/>
  <c r="I52" i="8" s="1"/>
  <c r="H51" i="8"/>
  <c r="I51" i="8" s="1"/>
  <c r="H49" i="8"/>
  <c r="I49" i="8" s="1"/>
  <c r="H48" i="8"/>
  <c r="I48" i="8" s="1"/>
  <c r="H46" i="8"/>
  <c r="I46" i="8" s="1"/>
  <c r="H45" i="8"/>
  <c r="I45" i="8" s="1"/>
  <c r="H44" i="8"/>
  <c r="I44" i="8" s="1"/>
  <c r="H42" i="8"/>
  <c r="I42" i="8" s="1"/>
  <c r="H41" i="8"/>
  <c r="I41" i="8" s="1"/>
  <c r="H40" i="8"/>
  <c r="I40" i="8" s="1"/>
  <c r="H39" i="8"/>
  <c r="I39" i="8" s="1"/>
  <c r="H38" i="8"/>
  <c r="I38" i="8" s="1"/>
  <c r="H37" i="8"/>
  <c r="I37" i="8" s="1"/>
  <c r="H36" i="8"/>
  <c r="I36" i="8" s="1"/>
  <c r="H35" i="8"/>
  <c r="I35" i="8" s="1"/>
  <c r="H34" i="8"/>
  <c r="I34" i="8" s="1"/>
  <c r="H33" i="8"/>
  <c r="I33" i="8" s="1"/>
  <c r="H31" i="8"/>
  <c r="I31" i="8" s="1"/>
  <c r="H30" i="8"/>
  <c r="I30" i="8" s="1"/>
  <c r="H28" i="8"/>
  <c r="I28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3" i="8"/>
  <c r="I13" i="8" s="1"/>
  <c r="H12" i="8"/>
  <c r="I12" i="8" s="1"/>
  <c r="H10" i="8"/>
  <c r="I10" i="8" s="1"/>
  <c r="H9" i="8"/>
  <c r="I9" i="8" s="1"/>
  <c r="H8" i="8"/>
  <c r="I8" i="8" s="1"/>
  <c r="H7" i="8"/>
  <c r="I7" i="8" s="1"/>
  <c r="I43" i="8" l="1"/>
  <c r="I47" i="8"/>
  <c r="I14" i="8"/>
  <c r="I6" i="8"/>
  <c r="I50" i="8"/>
  <c r="I27" i="8"/>
  <c r="I11" i="8"/>
  <c r="I32" i="8"/>
  <c r="I56" i="8"/>
  <c r="I59" i="8" l="1"/>
  <c r="H6" i="4" l="1"/>
  <c r="J29" i="8"/>
  <c r="J48" i="8"/>
  <c r="J36" i="8"/>
  <c r="J49" i="8"/>
  <c r="J33" i="8"/>
  <c r="J38" i="8"/>
  <c r="J31" i="8"/>
  <c r="J46" i="8"/>
  <c r="J23" i="8"/>
  <c r="J24" i="8"/>
  <c r="J20" i="8"/>
  <c r="J10" i="8"/>
  <c r="J17" i="8"/>
  <c r="J55" i="8"/>
  <c r="J42" i="8"/>
  <c r="J53" i="8"/>
  <c r="J12" i="8"/>
  <c r="J51" i="8"/>
  <c r="J44" i="8"/>
  <c r="J34" i="8"/>
  <c r="J22" i="8"/>
  <c r="J37" i="8"/>
  <c r="J8" i="8"/>
  <c r="J21" i="8"/>
  <c r="J41" i="8"/>
  <c r="J28" i="8"/>
  <c r="J52" i="8"/>
  <c r="J45" i="8"/>
  <c r="J40" i="8"/>
  <c r="J30" i="8"/>
  <c r="J7" i="8"/>
  <c r="J25" i="8"/>
  <c r="J54" i="8"/>
  <c r="J39" i="8"/>
  <c r="J16" i="8"/>
  <c r="J9" i="8"/>
  <c r="J15" i="8"/>
  <c r="J18" i="8"/>
  <c r="J57" i="8"/>
  <c r="J56" i="8" s="1"/>
  <c r="J19" i="8"/>
  <c r="J35" i="8"/>
  <c r="J13" i="8"/>
  <c r="J32" i="8" l="1"/>
  <c r="J47" i="8"/>
  <c r="J43" i="8"/>
  <c r="J6" i="8"/>
  <c r="J27" i="8"/>
  <c r="J50" i="8"/>
  <c r="J14" i="8"/>
  <c r="J11" i="8"/>
  <c r="J59" i="8" l="1"/>
  <c r="H57" i="7"/>
  <c r="I57" i="7" s="1"/>
  <c r="H55" i="7"/>
  <c r="I55" i="7" s="1"/>
  <c r="H54" i="7"/>
  <c r="I54" i="7" s="1"/>
  <c r="H53" i="7"/>
  <c r="I53" i="7" s="1"/>
  <c r="H52" i="7"/>
  <c r="I52" i="7" s="1"/>
  <c r="H51" i="7"/>
  <c r="I51" i="7" s="1"/>
  <c r="H49" i="7"/>
  <c r="I49" i="7" s="1"/>
  <c r="H48" i="7"/>
  <c r="I48" i="7" s="1"/>
  <c r="H46" i="7"/>
  <c r="I46" i="7" s="1"/>
  <c r="H45" i="7"/>
  <c r="I45" i="7" s="1"/>
  <c r="H44" i="7"/>
  <c r="I44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1" i="7"/>
  <c r="I31" i="7" s="1"/>
  <c r="H30" i="7"/>
  <c r="I30" i="7" s="1"/>
  <c r="H28" i="7"/>
  <c r="I28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3" i="7"/>
  <c r="I13" i="7" s="1"/>
  <c r="H12" i="7"/>
  <c r="I12" i="7" s="1"/>
  <c r="H10" i="7"/>
  <c r="I10" i="7" s="1"/>
  <c r="H9" i="7"/>
  <c r="I9" i="7" s="1"/>
  <c r="H8" i="7"/>
  <c r="I8" i="7" s="1"/>
  <c r="H7" i="7"/>
  <c r="I7" i="7" s="1"/>
  <c r="I43" i="7" l="1"/>
  <c r="I32" i="7"/>
  <c r="I14" i="7"/>
  <c r="I6" i="7"/>
  <c r="I50" i="7"/>
  <c r="I11" i="7"/>
  <c r="I27" i="7"/>
  <c r="I47" i="7"/>
  <c r="I56" i="7"/>
  <c r="A38" i="5"/>
  <c r="D29" i="5"/>
  <c r="H28" i="5"/>
  <c r="G28" i="5"/>
  <c r="F28" i="5"/>
  <c r="D28" i="5"/>
  <c r="C30" i="5" s="1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H7" i="5"/>
  <c r="I59" i="7" l="1"/>
  <c r="B26" i="3"/>
  <c r="B24" i="3"/>
  <c r="B22" i="3"/>
  <c r="L27" i="3"/>
  <c r="F26" i="3"/>
  <c r="E26" i="3"/>
  <c r="D26" i="3"/>
  <c r="C26" i="3"/>
  <c r="L25" i="3"/>
  <c r="C24" i="3"/>
  <c r="L23" i="3"/>
  <c r="F22" i="3"/>
  <c r="E22" i="3"/>
  <c r="D22" i="3"/>
  <c r="C22" i="3"/>
  <c r="B20" i="3"/>
  <c r="B18" i="3"/>
  <c r="B16" i="3"/>
  <c r="B14" i="3"/>
  <c r="B12" i="3"/>
  <c r="B10" i="3"/>
  <c r="B3" i="3"/>
  <c r="L31" i="3"/>
  <c r="J30" i="3"/>
  <c r="I30" i="3"/>
  <c r="H30" i="3"/>
  <c r="D30" i="3"/>
  <c r="C30" i="3"/>
  <c r="B30" i="3"/>
  <c r="J28" i="3"/>
  <c r="I28" i="3"/>
  <c r="H28" i="3"/>
  <c r="G28" i="3"/>
  <c r="F28" i="3"/>
  <c r="E28" i="3"/>
  <c r="D28" i="3"/>
  <c r="C28" i="3"/>
  <c r="B28" i="3"/>
  <c r="L21" i="3"/>
  <c r="E20" i="3"/>
  <c r="D20" i="3"/>
  <c r="C20" i="3"/>
  <c r="L19" i="3"/>
  <c r="C18" i="3"/>
  <c r="L17" i="3"/>
  <c r="D16" i="3"/>
  <c r="C16" i="3"/>
  <c r="L15" i="3"/>
  <c r="H14" i="3"/>
  <c r="L13" i="3"/>
  <c r="H12" i="3"/>
  <c r="L11" i="3"/>
  <c r="H10" i="3"/>
  <c r="A6" i="3"/>
  <c r="H34" i="2"/>
  <c r="I34" i="2" s="1"/>
  <c r="H35" i="2"/>
  <c r="I35" i="2" s="1"/>
  <c r="H36" i="2"/>
  <c r="I36" i="2" s="1"/>
  <c r="H37" i="2"/>
  <c r="I37" i="2" s="1"/>
  <c r="H33" i="2"/>
  <c r="I33" i="2" s="1"/>
  <c r="H57" i="2"/>
  <c r="I57" i="2" s="1"/>
  <c r="H55" i="2"/>
  <c r="I55" i="2" s="1"/>
  <c r="H54" i="2"/>
  <c r="I54" i="2" s="1"/>
  <c r="H53" i="2"/>
  <c r="I53" i="2" s="1"/>
  <c r="H52" i="2"/>
  <c r="I52" i="2" s="1"/>
  <c r="H51" i="2"/>
  <c r="I51" i="2" s="1"/>
  <c r="H49" i="2"/>
  <c r="I49" i="2" s="1"/>
  <c r="H48" i="2"/>
  <c r="I48" i="2" s="1"/>
  <c r="H46" i="2"/>
  <c r="I46" i="2" s="1"/>
  <c r="H45" i="2"/>
  <c r="I45" i="2" s="1"/>
  <c r="H44" i="2"/>
  <c r="I44" i="2" s="1"/>
  <c r="H42" i="2"/>
  <c r="I42" i="2" s="1"/>
  <c r="H41" i="2"/>
  <c r="I41" i="2" s="1"/>
  <c r="H40" i="2"/>
  <c r="I40" i="2" s="1"/>
  <c r="H39" i="2"/>
  <c r="I39" i="2" s="1"/>
  <c r="H38" i="2"/>
  <c r="I38" i="2" s="1"/>
  <c r="H31" i="2"/>
  <c r="I31" i="2" s="1"/>
  <c r="H30" i="2"/>
  <c r="I30" i="2" s="1"/>
  <c r="H28" i="2"/>
  <c r="I28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I13" i="2"/>
  <c r="I12" i="2"/>
  <c r="G6" i="4" l="1"/>
  <c r="J29" i="7"/>
  <c r="L33" i="2"/>
  <c r="J38" i="7"/>
  <c r="J15" i="7"/>
  <c r="J10" i="7"/>
  <c r="J31" i="7"/>
  <c r="J54" i="7"/>
  <c r="J7" i="7"/>
  <c r="J46" i="7"/>
  <c r="J49" i="7"/>
  <c r="J28" i="7"/>
  <c r="J57" i="7"/>
  <c r="J56" i="7" s="1"/>
  <c r="J52" i="7"/>
  <c r="J21" i="7"/>
  <c r="J16" i="7"/>
  <c r="J35" i="7"/>
  <c r="J9" i="7"/>
  <c r="J12" i="7"/>
  <c r="J33" i="7"/>
  <c r="J55" i="7"/>
  <c r="J8" i="7"/>
  <c r="J37" i="7"/>
  <c r="J25" i="7"/>
  <c r="J41" i="7"/>
  <c r="J19" i="7"/>
  <c r="J45" i="7"/>
  <c r="J30" i="7"/>
  <c r="J20" i="7"/>
  <c r="J36" i="7"/>
  <c r="J18" i="7"/>
  <c r="J13" i="7"/>
  <c r="J40" i="7"/>
  <c r="J17" i="7"/>
  <c r="J42" i="7"/>
  <c r="J53" i="7"/>
  <c r="J22" i="7"/>
  <c r="J51" i="7"/>
  <c r="J44" i="7"/>
  <c r="J23" i="7"/>
  <c r="J39" i="7"/>
  <c r="J34" i="7"/>
  <c r="J24" i="7"/>
  <c r="J48" i="7"/>
  <c r="I56" i="2"/>
  <c r="C14" i="4" s="1"/>
  <c r="I26" i="3" s="1"/>
  <c r="I50" i="2"/>
  <c r="I47" i="2"/>
  <c r="C12" i="4" s="1"/>
  <c r="I22" i="3" s="1"/>
  <c r="I43" i="2"/>
  <c r="C11" i="4" s="1"/>
  <c r="I20" i="3" s="1"/>
  <c r="I32" i="2"/>
  <c r="C10" i="4" s="1"/>
  <c r="I18" i="3" s="1"/>
  <c r="H18" i="3" s="1"/>
  <c r="I27" i="2"/>
  <c r="C9" i="4" s="1"/>
  <c r="I16" i="3" s="1"/>
  <c r="I14" i="2"/>
  <c r="C8" i="4" s="1"/>
  <c r="I14" i="3" s="1"/>
  <c r="F14" i="3" s="1"/>
  <c r="I6" i="2"/>
  <c r="C6" i="4" s="1"/>
  <c r="I11" i="2"/>
  <c r="C7" i="4" s="1"/>
  <c r="I12" i="3" s="1"/>
  <c r="C13" i="4" l="1"/>
  <c r="I24" i="3" s="1"/>
  <c r="D24" i="3" s="1"/>
  <c r="I59" i="2"/>
  <c r="J29" i="2" s="1"/>
  <c r="G26" i="3"/>
  <c r="H26" i="3"/>
  <c r="H22" i="3"/>
  <c r="G22" i="3"/>
  <c r="D18" i="3"/>
  <c r="G18" i="3"/>
  <c r="F18" i="3"/>
  <c r="E18" i="3"/>
  <c r="F16" i="3"/>
  <c r="G16" i="3"/>
  <c r="H16" i="3"/>
  <c r="E16" i="3"/>
  <c r="D14" i="3"/>
  <c r="G14" i="3"/>
  <c r="C14" i="3"/>
  <c r="E14" i="3"/>
  <c r="J47" i="7"/>
  <c r="J50" i="7"/>
  <c r="G20" i="3"/>
  <c r="H20" i="3"/>
  <c r="F20" i="3"/>
  <c r="E12" i="3"/>
  <c r="F12" i="3"/>
  <c r="G12" i="3"/>
  <c r="C12" i="3"/>
  <c r="D12" i="3"/>
  <c r="I10" i="3"/>
  <c r="J32" i="7"/>
  <c r="J27" i="7"/>
  <c r="J6" i="7"/>
  <c r="J14" i="7"/>
  <c r="J43" i="7"/>
  <c r="J11" i="7"/>
  <c r="H24" i="3" l="1"/>
  <c r="H33" i="3" s="1"/>
  <c r="C16" i="4"/>
  <c r="D6" i="4" s="1"/>
  <c r="G24" i="3"/>
  <c r="F24" i="3"/>
  <c r="E24" i="3"/>
  <c r="F6" i="4"/>
  <c r="J6" i="4" s="1"/>
  <c r="J9" i="2"/>
  <c r="J8" i="2"/>
  <c r="J7" i="2"/>
  <c r="J10" i="2"/>
  <c r="J66" i="7"/>
  <c r="J59" i="7"/>
  <c r="I33" i="3"/>
  <c r="G10" i="3"/>
  <c r="F10" i="3"/>
  <c r="E10" i="3"/>
  <c r="D10" i="3"/>
  <c r="D33" i="3" s="1"/>
  <c r="C10" i="3"/>
  <c r="C33" i="3" s="1"/>
  <c r="J48" i="2"/>
  <c r="J36" i="2"/>
  <c r="J15" i="2"/>
  <c r="J55" i="2"/>
  <c r="J41" i="2"/>
  <c r="J30" i="2"/>
  <c r="J51" i="2"/>
  <c r="J17" i="2"/>
  <c r="J57" i="2"/>
  <c r="J56" i="2" s="1"/>
  <c r="J45" i="2"/>
  <c r="J39" i="2"/>
  <c r="J25" i="2"/>
  <c r="J53" i="2"/>
  <c r="J28" i="2"/>
  <c r="J20" i="2"/>
  <c r="J49" i="2"/>
  <c r="J13" i="2"/>
  <c r="J38" i="2"/>
  <c r="J54" i="2"/>
  <c r="J18" i="2"/>
  <c r="J35" i="2"/>
  <c r="J16" i="2"/>
  <c r="J23" i="2"/>
  <c r="J46" i="2"/>
  <c r="J40" i="2"/>
  <c r="J21" i="2"/>
  <c r="J24" i="2"/>
  <c r="J31" i="2"/>
  <c r="J12" i="2"/>
  <c r="J33" i="2"/>
  <c r="J22" i="2"/>
  <c r="J42" i="2"/>
  <c r="J37" i="2"/>
  <c r="J44" i="2"/>
  <c r="J34" i="2"/>
  <c r="J19" i="2"/>
  <c r="J52" i="2"/>
  <c r="G33" i="3" l="1"/>
  <c r="G34" i="3" s="1"/>
  <c r="D11" i="4"/>
  <c r="D14" i="4"/>
  <c r="E33" i="3"/>
  <c r="E34" i="3" s="1"/>
  <c r="F33" i="3"/>
  <c r="F34" i="3" s="1"/>
  <c r="D10" i="4"/>
  <c r="D13" i="4"/>
  <c r="D9" i="4"/>
  <c r="D12" i="4"/>
  <c r="D8" i="4"/>
  <c r="D7" i="4"/>
  <c r="D34" i="3"/>
  <c r="C35" i="3"/>
  <c r="C34" i="3"/>
  <c r="J43" i="2"/>
  <c r="J18" i="3"/>
  <c r="J26" i="3"/>
  <c r="J24" i="3"/>
  <c r="J20" i="3"/>
  <c r="J12" i="3"/>
  <c r="J14" i="3"/>
  <c r="J22" i="3"/>
  <c r="J16" i="3"/>
  <c r="H34" i="3"/>
  <c r="J10" i="3"/>
  <c r="J50" i="2"/>
  <c r="J14" i="2"/>
  <c r="J32" i="2"/>
  <c r="J11" i="2"/>
  <c r="J27" i="2"/>
  <c r="J47" i="2"/>
  <c r="D16" i="4" l="1"/>
  <c r="J33" i="3"/>
  <c r="D35" i="3"/>
  <c r="C36" i="3"/>
  <c r="E35" i="3" l="1"/>
  <c r="D36" i="3"/>
  <c r="F35" i="3" l="1"/>
  <c r="E36" i="3"/>
  <c r="G35" i="3" l="1"/>
  <c r="F36" i="3"/>
  <c r="G36" i="3" l="1"/>
  <c r="H35" i="3"/>
  <c r="H36" i="3" s="1"/>
  <c r="J6" i="2" l="1"/>
  <c r="J59" i="2" s="1"/>
</calcChain>
</file>

<file path=xl/comments1.xml><?xml version="1.0" encoding="utf-8"?>
<comments xmlns="http://schemas.openxmlformats.org/spreadsheetml/2006/main">
  <authors>
    <author>gpp002</author>
  </authors>
  <commentList>
    <comment ref="H10" authorId="0" shapeId="0">
      <text>
        <r>
          <rPr>
            <b/>
            <sz val="9"/>
            <color indexed="81"/>
            <rFont val="Segoe UI"/>
            <family val="2"/>
          </rPr>
          <t>Entre 2% a 5%.</t>
        </r>
      </text>
    </comment>
  </commentList>
</comments>
</file>

<file path=xl/sharedStrings.xml><?xml version="1.0" encoding="utf-8"?>
<sst xmlns="http://schemas.openxmlformats.org/spreadsheetml/2006/main" count="1106" uniqueCount="253">
  <si>
    <t>Item</t>
  </si>
  <si>
    <t>Descrição</t>
  </si>
  <si>
    <t>Canteiro e Sinalização</t>
  </si>
  <si>
    <t xml:space="preserve"> 1.1 </t>
  </si>
  <si>
    <t xml:space="preserve"> 02.02.130 </t>
  </si>
  <si>
    <t>CPOS/CDHU</t>
  </si>
  <si>
    <t>Locação de container tipo escritório com 1 vaso sanitário, 1 lavatório e 1 ponto para chuveiro - área mínima de 13,80 m²</t>
  </si>
  <si>
    <t>UNMES</t>
  </si>
  <si>
    <t xml:space="preserve"> 1.2 </t>
  </si>
  <si>
    <t>m²</t>
  </si>
  <si>
    <t xml:space="preserve"> 1.3 </t>
  </si>
  <si>
    <t xml:space="preserve"> 70020005 </t>
  </si>
  <si>
    <t>SINALIZAÇÃO DE TRÁFEGO COM CERQUITE</t>
  </si>
  <si>
    <t>M</t>
  </si>
  <si>
    <t xml:space="preserve"> 1.4 </t>
  </si>
  <si>
    <t xml:space="preserve"> 70020001 </t>
  </si>
  <si>
    <t>SINALIZAÇÃO LUMINOSA PARA OBRAS</t>
  </si>
  <si>
    <t xml:space="preserve"> 2 </t>
  </si>
  <si>
    <t>Topografia</t>
  </si>
  <si>
    <t xml:space="preserve"> 2.1 </t>
  </si>
  <si>
    <t>LOCAÇÃO DE ADUTORAS, COLETORES-TRONCO E INTERCEPTORES (ATÉ DIÂM. 500 MM)</t>
  </si>
  <si>
    <t xml:space="preserve"> 2.2 </t>
  </si>
  <si>
    <t>CADASTRO DE ADUTORAS, COLETORES-TRONCO E INTERCEPTORES (ATÉ DIÂM. 500 MM)</t>
  </si>
  <si>
    <t xml:space="preserve"> 3 </t>
  </si>
  <si>
    <t>Terraplanagem</t>
  </si>
  <si>
    <t xml:space="preserve"> 3.1 </t>
  </si>
  <si>
    <t>DEMOLICAO PAVIMENTOFLEXIVEL C/TRANSPORT</t>
  </si>
  <si>
    <t>m³</t>
  </si>
  <si>
    <t xml:space="preserve"> 3.2 </t>
  </si>
  <si>
    <t xml:space="preserve"> 100981 </t>
  </si>
  <si>
    <t>SINAPI</t>
  </si>
  <si>
    <t>CARGA, MANOBRA E DESCARGA DE ENTULHO EM CAMINHÃO BASCULANTE 6 M³ - CARGA COM ESCAVADEIRA HIDRÁULICA  (CAÇAMBA DE 0,80 M³ / 111 HP) E DESCARGA LIVRE (UNIDADE: M3). AF_07/2020</t>
  </si>
  <si>
    <t xml:space="preserve"> 3.3 </t>
  </si>
  <si>
    <t xml:space="preserve"> 95875 </t>
  </si>
  <si>
    <t>TRANSPORTE COM CAMINHÃO BASCULANTE DE 10 M³, EM VIA URBANA PAVIMENTADA, DMT ATÉ 30 KM (UNIDADE: M3XKM). AF_07/2020</t>
  </si>
  <si>
    <t>M3XKM</t>
  </si>
  <si>
    <t xml:space="preserve"> 3.4 </t>
  </si>
  <si>
    <t xml:space="preserve"> 102311 </t>
  </si>
  <si>
    <t>ESCAVAÇÃO MECANIZADA DE VALA COM PROF. MAIOR QUE 1,5 M ATÉ 3,0 M (MÉDIA MONTANTE E JUSANTE/UMA COMPOSIÇÃO POR TRECHO),COM ESCAVADEIRA (1,2 M3),LARG. DE 1,5 M A 2,5 M, EM SOLO DE 2A CATEGORIA, EM LOCAIS COM ALTO NÍVEL DE INTERFERÊNCIA. AF_02/2021</t>
  </si>
  <si>
    <t xml:space="preserve"> 3.5 </t>
  </si>
  <si>
    <t xml:space="preserve"> 90094 </t>
  </si>
  <si>
    <t>ESCAVAÇÃO MECANIZADA DE VALA COM PROF. MAIOR QUE 3,0 M ATÉ 4,5 M (MÉDIA MONTANTE E JUSANTE/UMA COMPOSIÇÃO POR TRECHO), ESCAVADEIRA (0,8 M3), LARG. MENOR QUE 1,5 M, EM SOLO DE 1A CATEGORIA, LOCAIS COM BAIXO NÍVEL DE INTERFERÊNCIA. AF_02/2021</t>
  </si>
  <si>
    <t xml:space="preserve"> 3.6 </t>
  </si>
  <si>
    <t xml:space="preserve"> 100977 </t>
  </si>
  <si>
    <t>CARGA, MANOBRA E DESCARGA DE SOLOS E MATERIAIS GRANULARES EM CAMINHÃO BASCULANTE 6 M³ - CARGA COM ESCAVADEIRA HIDRÁULICA (CAÇAMBA DE 1,20 M³ / 155 HP) E DESCARGA LIVRE (UNIDADE: M3). AF_07/2020</t>
  </si>
  <si>
    <t xml:space="preserve"> 3.7 </t>
  </si>
  <si>
    <t xml:space="preserve"> 3.8 </t>
  </si>
  <si>
    <t xml:space="preserve"> 101602 </t>
  </si>
  <si>
    <t>ESCORAMENTO DE VALA, TIPO BLINDAGEM, COM PROFUNDIDADE DE 1,5 A 3,0 M, LARGURA MENOR QUE 1,5 M - EXECUÇÃO, NÃO INCLUI MATERIAL. AF_08/2020</t>
  </si>
  <si>
    <t xml:space="preserve"> 3.9 </t>
  </si>
  <si>
    <t xml:space="preserve"> 101605 </t>
  </si>
  <si>
    <t>ESCORAMENTO DE VALA, TIPO BLINDAGEM, COM PROFUNDIDADE DE 3,0 A 4,5 M, LARGURA MAIOR OU IGUAL A 1,5 M E MENOR QUE 2,5 M - EXECUÇÃO, NÃO INCLUI MATERIAL. AF_08/2020</t>
  </si>
  <si>
    <t xml:space="preserve"> 3.10 </t>
  </si>
  <si>
    <t xml:space="preserve"> 83667 </t>
  </si>
  <si>
    <t>CAMADA DRENANTE COM AREIA MEDIA</t>
  </si>
  <si>
    <t xml:space="preserve"> 3.11 </t>
  </si>
  <si>
    <t xml:space="preserve"> 4 </t>
  </si>
  <si>
    <t>Recomposição da Pavimentação Asfáltica</t>
  </si>
  <si>
    <t xml:space="preserve"> 4.1 </t>
  </si>
  <si>
    <t xml:space="preserve"> 96396 </t>
  </si>
  <si>
    <t>EXECUÇÃO E COMPACTAÇÃO DE BASE E OU SUB BASE PARA PAVIMENTAÇÃO DE BRITA GRADUADA SIMPLES - EXCLUSIVE CARGA E TRANSPORTE. AF_11/2019</t>
  </si>
  <si>
    <t>IMPRIMADURA BETUMINOSA LIGANTE</t>
  </si>
  <si>
    <t xml:space="preserve"> 5 </t>
  </si>
  <si>
    <t>Tubulação (incluso fornecimento, transp. e assentamento)</t>
  </si>
  <si>
    <t xml:space="preserve"> 5.1 </t>
  </si>
  <si>
    <t>Fornecimento Tubo PEAD corrugado de dupla parede para Drenagem, DN 400mm, junta elástica integrada</t>
  </si>
  <si>
    <t>m</t>
  </si>
  <si>
    <t xml:space="preserve"> 5.2 </t>
  </si>
  <si>
    <t>Fornecimento Tubo PEAD corrugado de dupla parede para Drenagem, DN 600mm, junta elástica integrada</t>
  </si>
  <si>
    <t xml:space="preserve"> 5.3 </t>
  </si>
  <si>
    <t>Fornecimento Tubo PEAD corrugado de dupla parede para Drenagem, DN 800mm, junta elástica integrada</t>
  </si>
  <si>
    <t xml:space="preserve"> 5.4 </t>
  </si>
  <si>
    <t>Fornecimento Tubo PEAD corrugado de dupla parede para Drenagem, DN 1000mm, junta elástica integrada</t>
  </si>
  <si>
    <t xml:space="preserve"> 5.5 </t>
  </si>
  <si>
    <t>Fornecimento Tubo PEAD corrugado de dupla parede para Drenagem, DN 1200mm, junta elástica integrada</t>
  </si>
  <si>
    <t xml:space="preserve"> 5.6 </t>
  </si>
  <si>
    <t xml:space="preserve"> 90745 </t>
  </si>
  <si>
    <t>ASSENTAMENTO DE TUBO DE PVC CORRUGADO DE DUPLA PAREDE PARA REDE COLETORA DE ESGOTO, DN 400 MM, JUNTA ELÁSTICA  (NÃO INCLUI FORNECIMENTO). AF_01/2021</t>
  </si>
  <si>
    <t xml:space="preserve"> 5.7 </t>
  </si>
  <si>
    <t xml:space="preserve"> 90747 </t>
  </si>
  <si>
    <t>ASSENTAMENTO DE TUBO DE PEAD CORRUGADO DE DUPLA PAREDE PARA REDE COLETORA DE ESGOTO, DN 600 MM, JUNTA ELÁSTICA INTEGRADA (NÃO INCLUI FORNECIMENTO). AF_01/2021</t>
  </si>
  <si>
    <t xml:space="preserve"> 5.8 </t>
  </si>
  <si>
    <t xml:space="preserve"> 94876 </t>
  </si>
  <si>
    <t>ASSENTAMENTO DE TUBO DE PEAD CORRUGADO DE DUPLA PAREDE PARA REDE COLETORA DE ESGOTO, DN 800 MM, JUNTA ELÁSTICA INTEGRADA  (NÃO INCLUI FORNECIMENTO). AF_01/2021</t>
  </si>
  <si>
    <t xml:space="preserve"> 5.9 </t>
  </si>
  <si>
    <t xml:space="preserve"> 94880 </t>
  </si>
  <si>
    <t>ASSENTAMENTO DE TUBO DE PEAD CORRUGADO DE DUPLA PAREDE PARA REDE COLETORA DE ESGOTO, DN 1000 MM, JUNTA ELÁSTICA INTEGRADA (NÃO INCLUI FORNECIMENTO). AF_01/2021</t>
  </si>
  <si>
    <t xml:space="preserve"> 5.10 </t>
  </si>
  <si>
    <t xml:space="preserve"> 94882 </t>
  </si>
  <si>
    <t>ASSENTAMENTO DE TUBO DE PEAD CORRUGADO DE DUPLA PAREDE PARA REDE COLETORA DE ESGOTO, DN 1200 MM, JUNTA ELÁSTICA INTEGRADA (NÃO INCLUI FORNECIMENTO). AF_01/2021</t>
  </si>
  <si>
    <t xml:space="preserve"> 6 </t>
  </si>
  <si>
    <t>Poço de Visita em Concreto com tampão de Ferro Fundido DN 600mm</t>
  </si>
  <si>
    <t xml:space="preserve"> 6.1 </t>
  </si>
  <si>
    <t>un</t>
  </si>
  <si>
    <t xml:space="preserve"> 6.2 </t>
  </si>
  <si>
    <t xml:space="preserve"> 6.3 </t>
  </si>
  <si>
    <t xml:space="preserve"> 7 </t>
  </si>
  <si>
    <t>Bocas-de-lobo com grelha articulada</t>
  </si>
  <si>
    <t xml:space="preserve"> 7.1 </t>
  </si>
  <si>
    <t xml:space="preserve"> 97951 </t>
  </si>
  <si>
    <t>CAIXA PARA BOCA DE LOBO COMBINADA COM GRELHA RETANGULAR, EM ALVENARIA COM TIJOLOS CERÂMICOS MACIÇOS, DIMENSÕES INTERNAS: 1,3X1X1,2 M. AF_12/2020</t>
  </si>
  <si>
    <t>UN</t>
  </si>
  <si>
    <t xml:space="preserve"> 7.2 </t>
  </si>
  <si>
    <t xml:space="preserve"> 97973 </t>
  </si>
  <si>
    <t>CAIXA PARA BOCA DE LOBO DUPLA COMBINADA COM GRELHA RETANGULAR, EM ALVENARIA COM BLOCOS DE CONCRETO, DIMENSÕES INTERNAS: 1,3X2,2X1,2 M. AF_12/2020</t>
  </si>
  <si>
    <t xml:space="preserve"> 8 </t>
  </si>
  <si>
    <t>Remanejamento de interferências</t>
  </si>
  <si>
    <t xml:space="preserve"> 8.1 </t>
  </si>
  <si>
    <t xml:space="preserve"> 5105 </t>
  </si>
  <si>
    <t>ORSE</t>
  </si>
  <si>
    <t>Sondagem de Redes e Peças Localizadas (cavas) em Ruas com Pavimentação Asfáltica</t>
  </si>
  <si>
    <t xml:space="preserve"> 8.2 </t>
  </si>
  <si>
    <t xml:space="preserve"> 25.12.07 </t>
  </si>
  <si>
    <t>EMBASA</t>
  </si>
  <si>
    <t xml:space="preserve"> 8.3 </t>
  </si>
  <si>
    <t xml:space="preserve"> 25.12.31 </t>
  </si>
  <si>
    <t xml:space="preserve"> 8.4 </t>
  </si>
  <si>
    <t xml:space="preserve"> 7118 </t>
  </si>
  <si>
    <t>Remanejamento de Rede de Distribuição de Água em PVC, DN   50 a 100mm</t>
  </si>
  <si>
    <t xml:space="preserve"> 8.5 </t>
  </si>
  <si>
    <t xml:space="preserve"> 6474 </t>
  </si>
  <si>
    <t>Remanejamento de ligação predial dn 50mm x 1/2", em asfalto - Rev 01_10/2022</t>
  </si>
  <si>
    <t xml:space="preserve"> 9 </t>
  </si>
  <si>
    <t>Limpeza geral da obra</t>
  </si>
  <si>
    <t xml:space="preserve"> 9.1 </t>
  </si>
  <si>
    <t xml:space="preserve"> 9537 </t>
  </si>
  <si>
    <t>LIMPEZA FINAL DA OBRA</t>
  </si>
  <si>
    <t>Total Geral</t>
  </si>
  <si>
    <t>SERVIÇO AUTÔNOMO DE ÁGUA E ESGOTO</t>
  </si>
  <si>
    <t xml:space="preserve"> OBJETO:</t>
  </si>
  <si>
    <t xml:space="preserve"> LOCAL:</t>
  </si>
  <si>
    <t>ITEM</t>
  </si>
  <si>
    <t>CÓDIGO REFERÊNCIA</t>
  </si>
  <si>
    <t>DISCRIMINAÇÃO</t>
  </si>
  <si>
    <t>UNID.</t>
  </si>
  <si>
    <t>QUANT.</t>
  </si>
  <si>
    <t>PREÇO UNITÁRIO (s/ BDI)(R$)</t>
  </si>
  <si>
    <t>PREÇO UNITÁRIO (c/ BDI)(R$)</t>
  </si>
  <si>
    <t>TOTAL DO ITEM         (R$)</t>
  </si>
  <si>
    <t>BANCO</t>
  </si>
  <si>
    <t>PESO (%)</t>
  </si>
  <si>
    <t>OBRA:</t>
  </si>
  <si>
    <t>BDI 1</t>
  </si>
  <si>
    <t>BDI 2</t>
  </si>
  <si>
    <t>DATA BASE:</t>
  </si>
  <si>
    <t>REVISÃO:</t>
  </si>
  <si>
    <t>Fonte: SINAPI - 09/2023 ; ORSE - 08/2023 ; CPOS/CDHU - 08/2023 - SABESP 09/2023 - DER/SP 06/2023</t>
  </si>
  <si>
    <t>B.D.I - Padrão</t>
  </si>
  <si>
    <t>DRENAGEM DE ÁGUAS SUPERFÍCIAIS</t>
  </si>
  <si>
    <t>BAIRRO SÃO JOÃO BATISTA</t>
  </si>
  <si>
    <t>B.D.I - itens 5.1 a 5.5</t>
  </si>
  <si>
    <t>Sabesp</t>
  </si>
  <si>
    <t>DER/SP</t>
  </si>
  <si>
    <t xml:space="preserve"> 21.05.07</t>
  </si>
  <si>
    <t>Cotação</t>
  </si>
  <si>
    <t>São Carlos, 24 de novembro de 2023</t>
  </si>
  <si>
    <t>Meses</t>
  </si>
  <si>
    <t>Total 
(C/ BDI)</t>
  </si>
  <si>
    <t>%</t>
  </si>
  <si>
    <t>Mês 01</t>
  </si>
  <si>
    <t>Mês 02</t>
  </si>
  <si>
    <t>Mês 03</t>
  </si>
  <si>
    <t>Mês 04</t>
  </si>
  <si>
    <t>Mês 05</t>
  </si>
  <si>
    <t>Mês 06</t>
  </si>
  <si>
    <t>1.</t>
  </si>
  <si>
    <t>2.</t>
  </si>
  <si>
    <t>3.</t>
  </si>
  <si>
    <t>4.</t>
  </si>
  <si>
    <t>5.</t>
  </si>
  <si>
    <t>6.</t>
  </si>
  <si>
    <t>7.</t>
  </si>
  <si>
    <t>S U B T O T A L (com BDI)</t>
  </si>
  <si>
    <t>T O T A L   A C U M U L A D O (com BDI)</t>
  </si>
  <si>
    <t>8.</t>
  </si>
  <si>
    <t>9.</t>
  </si>
  <si>
    <t xml:space="preserve"> 1.</t>
  </si>
  <si>
    <t>LOCAL:</t>
  </si>
  <si>
    <t>Percentual da base de cálculo para o ISS, conforme legislação tributária municipal:</t>
  </si>
  <si>
    <t>Alíquota do ISS:</t>
  </si>
  <si>
    <t>TIPO DE OBRA:</t>
  </si>
  <si>
    <t>CONSTRUÇÃO DE EDIFÍCIOS</t>
  </si>
  <si>
    <t>Demonstrativo</t>
  </si>
  <si>
    <t>Referência</t>
  </si>
  <si>
    <t>SIGLAS</t>
  </si>
  <si>
    <t>DESCRIÇÃO</t>
  </si>
  <si>
    <t>1° Quartil</t>
  </si>
  <si>
    <t>Médio</t>
  </si>
  <si>
    <t>3º Quartil</t>
  </si>
  <si>
    <t>AC</t>
  </si>
  <si>
    <t>ADMINISTRAÇÃO CENTRAL</t>
  </si>
  <si>
    <t>SG</t>
  </si>
  <si>
    <t>SEGURO E GARANTIA</t>
  </si>
  <si>
    <t>R</t>
  </si>
  <si>
    <t>RISCO</t>
  </si>
  <si>
    <t>DF</t>
  </si>
  <si>
    <t>DESPESAS FINANCEIRAS</t>
  </si>
  <si>
    <t>L</t>
  </si>
  <si>
    <t>LUCRO</t>
  </si>
  <si>
    <t>CP</t>
  </si>
  <si>
    <t>TRIBUTOS (COFINS 3% E PIS 0,65%)</t>
  </si>
  <si>
    <t>ISS</t>
  </si>
  <si>
    <t>TRIBUTOS (ISSQN)</t>
  </si>
  <si>
    <t>CPRB</t>
  </si>
  <si>
    <t>TRIBUTOS (CP SOBRE RB - DESONER.)</t>
  </si>
  <si>
    <t>BDI</t>
  </si>
  <si>
    <t>SEM DESONERAÇÃO (Fórmula Acórdão TCU)</t>
  </si>
  <si>
    <t>COM DESONERAÇÃO</t>
  </si>
  <si>
    <t>Conforme Acordão Nº 2622/2013 - TCU.</t>
  </si>
  <si>
    <t>Os valores de BDI foram calculados com o emprego da fórmula:</t>
  </si>
  <si>
    <t>Declaramos para os devidos fins que o regime de Contribuição Previdênciária sobre a Receita Bruta adotado para elaboração do orçamento foi SEM DESONERAÇÃO, e que está é a alternativa mais adequada para a Administração Pública.</t>
  </si>
  <si>
    <t>TOTAL GERAL</t>
  </si>
  <si>
    <t>BAIRRO SÃO JOÃO BATISTA - SUB-BACIA I</t>
  </si>
  <si>
    <t>BAIRRO SÃO JOÃO BATISTA - SUB-BACIA II</t>
  </si>
  <si>
    <t>BAIRRO SÃO JOÃO BATISTA - SUB-BACIA III</t>
  </si>
  <si>
    <t>BAIRRO SÃO JOÃO BATISTA - SUB-BACIA IV</t>
  </si>
  <si>
    <t xml:space="preserve">                          SERVIÇO AUTÔNOMO DE ÁGUA E ESGOTO</t>
  </si>
  <si>
    <t>SUB I</t>
  </si>
  <si>
    <t>SUB II</t>
  </si>
  <si>
    <t>SUB III</t>
  </si>
  <si>
    <t>SUB IV</t>
  </si>
  <si>
    <t>O VALOR DO BDI ADOTADO É:</t>
  </si>
  <si>
    <t>ALTERAR DESCRIÇÃO</t>
  </si>
  <si>
    <t>ATESTADO 50 A 60%</t>
  </si>
  <si>
    <t>POÇO DE VISITA D=1,00 M EM EM  CONCRETO PRÉ - MOLDADO - PROF. ATÉ 2,00 M</t>
  </si>
  <si>
    <t>POÇO DE VISITA D=1,00 M EM EM  CONCRETO PRÉ - MOLDADO - PROF. ATÉ 3,00 M</t>
  </si>
  <si>
    <t>POÇO DE VISITA D=1,00 M EM EM  CONCRETO PRÉ - MOLDADO - PROF. ATÉ 4,00 M</t>
  </si>
  <si>
    <t>REMANEJAMENTO DE REDE COLETORA DE ESGOTO CERAMICO ATE DN 150 MM COM PAVIMENTO</t>
  </si>
  <si>
    <t>REMANEJAMENTO DE RAMAL DE ESGOTO EM PVC DN 150 MM COM PAVIMENTO DE UMA POSICAO PARA OUTRA</t>
  </si>
  <si>
    <t>28.08.01.01</t>
  </si>
  <si>
    <t xml:space="preserve">CONFECCAO, MONTAGEM E INSTALACAO DE PLACA INSTITUCIONAL                        </t>
  </si>
  <si>
    <t>21.02.17.01</t>
  </si>
  <si>
    <t>07.10.020</t>
  </si>
  <si>
    <t>ESPALHAMENTO/REGULARIZAÇÃO/COMPACTAÇÃO DE MATERIAL DE 1ª CATEGORIA EM BOTA-FORA</t>
  </si>
  <si>
    <t>ATERRO DE VALAS,COM COMPACTAÇÃO MECÂNIZADA, COM CONTROLE DO G.C.&gt;= 95% DO PN</t>
  </si>
  <si>
    <t>54.03.240</t>
  </si>
  <si>
    <t>IMPRIMAÇÃO IMPERMEABILIZANTE</t>
  </si>
  <si>
    <t>54.03.230</t>
  </si>
  <si>
    <t>95995</t>
  </si>
  <si>
    <t>CONCRETO BETUMINOSO USINADO A QUENTE PARA PAVIMENTAÇÃO</t>
  </si>
  <si>
    <t>97980/90730/98051</t>
  </si>
  <si>
    <t>97988/97989/102265/98051</t>
  </si>
  <si>
    <t>97988/97989/102268/98051</t>
  </si>
  <si>
    <t>97951</t>
  </si>
  <si>
    <t>55.01.020</t>
  </si>
  <si>
    <t xml:space="preserve"> 4.2</t>
  </si>
  <si>
    <t xml:space="preserve"> 4.3</t>
  </si>
  <si>
    <t xml:space="preserve"> 4.4</t>
  </si>
  <si>
    <t>PLANILHA ORÇAMENTÁRIA - ANEXO IX</t>
  </si>
  <si>
    <t>PLANILHA ORÇAMENTÁRIA - IX</t>
  </si>
  <si>
    <t xml:space="preserve">                       PLANILHA ORÇAMENTÁRIA - SINTÉTICA - ANEXO IX</t>
  </si>
  <si>
    <r>
      <t xml:space="preserve">CRONOGRAMA FÍSICO-FINANCEIRO - ANEXO IX
</t>
    </r>
    <r>
      <rPr>
        <sz val="11"/>
        <color rgb="FF000000"/>
        <rFont val="Arial"/>
        <family val="2"/>
      </rPr>
      <t xml:space="preserve">
</t>
    </r>
  </si>
  <si>
    <r>
      <rPr>
        <b/>
        <sz val="18"/>
        <color rgb="FF000000"/>
        <rFont val="Cambria"/>
        <family val="1"/>
      </rPr>
      <t xml:space="preserve">DEMONSTRATIVO DO BDI - ANEXO IX
</t>
    </r>
    <r>
      <rPr>
        <sz val="11"/>
        <color rgb="FF000000"/>
        <rFont val="Arial"/>
        <family val="2"/>
      </rPr>
      <t xml:space="preserve">em conformidade com Acordão N° 2622/2013 - TCU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</si>
</sst>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%"/>
    <numFmt numFmtId="165" formatCode="_(* #,##0.00_);_(* \(#,##0.00\);_(* \-??_);_(@_)"/>
    <numFmt numFmtId="166" formatCode="_(&quot;R$ &quot;* #,##0.00_);_(&quot;R$ &quot;* \(#,##0.00\);_(&quot;R$ &quot;* \-??_);_(@_)"/>
  </numFmts>
  <fonts count="41">
    <font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8"/>
      <name val="Arial"/>
      <family val="2"/>
    </font>
    <font>
      <sz val="22"/>
      <color rgb="FF003399"/>
      <name val="Myriad Pro"/>
      <family val="2"/>
    </font>
    <font>
      <b/>
      <sz val="12"/>
      <name val="Arial"/>
      <family val="2"/>
    </font>
    <font>
      <sz val="14"/>
      <color rgb="FF003399"/>
      <name val="Myriad Pro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Tahoma"/>
      <family val="2"/>
      <charset val="1"/>
    </font>
    <font>
      <b/>
      <sz val="11"/>
      <color rgb="FF000000"/>
      <name val="Cambria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Cambria"/>
      <family val="1"/>
    </font>
    <font>
      <b/>
      <sz val="18"/>
      <color rgb="FF000000"/>
      <name val="Cambria"/>
      <family val="1"/>
    </font>
    <font>
      <sz val="11"/>
      <color rgb="FF000000"/>
      <name val="Arial"/>
      <family val="2"/>
    </font>
    <font>
      <sz val="10"/>
      <name val="Cambria"/>
      <family val="1"/>
    </font>
    <font>
      <b/>
      <sz val="12"/>
      <name val="Cambria"/>
      <family val="1"/>
    </font>
    <font>
      <i/>
      <sz val="10"/>
      <name val="Cambria"/>
      <family val="1"/>
    </font>
    <font>
      <b/>
      <sz val="10"/>
      <color theme="0"/>
      <name val="Cambria"/>
      <family val="1"/>
    </font>
    <font>
      <b/>
      <sz val="12"/>
      <color theme="0"/>
      <name val="Cambria"/>
      <family val="1"/>
    </font>
    <font>
      <sz val="10"/>
      <color theme="0"/>
      <name val="Cambria"/>
      <family val="1"/>
    </font>
    <font>
      <b/>
      <sz val="14"/>
      <name val="Cambria"/>
      <family val="1"/>
    </font>
    <font>
      <i/>
      <sz val="10"/>
      <name val="Arial"/>
      <family val="2"/>
    </font>
    <font>
      <b/>
      <sz val="9"/>
      <color indexed="81"/>
      <name val="Segoe UI"/>
      <family val="2"/>
    </font>
    <font>
      <b/>
      <sz val="11"/>
      <color rgb="FF000000"/>
      <name val="Arial"/>
      <family val="1"/>
    </font>
    <font>
      <sz val="11"/>
      <color rgb="FF000000"/>
      <name val="Arial"/>
      <family val="1"/>
    </font>
    <font>
      <b/>
      <sz val="11"/>
      <name val="Arial"/>
      <family val="1"/>
    </font>
    <font>
      <sz val="17.5"/>
      <color rgb="FF003399"/>
      <name val="Myriad Pro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</borders>
  <cellStyleXfs count="5">
    <xf numFmtId="0" fontId="0" fillId="0" borderId="0"/>
    <xf numFmtId="0" fontId="15" fillId="0" borderId="0"/>
    <xf numFmtId="165" fontId="15" fillId="0" borderId="0" applyBorder="0" applyProtection="0"/>
    <xf numFmtId="166" fontId="15" fillId="0" borderId="0" applyBorder="0" applyProtection="0"/>
    <xf numFmtId="9" fontId="15" fillId="0" borderId="0" applyBorder="0" applyProtection="0"/>
  </cellStyleXfs>
  <cellXfs count="229">
    <xf numFmtId="0" fontId="0" fillId="0" borderId="0" xfId="0"/>
    <xf numFmtId="0" fontId="6" fillId="8" borderId="0" xfId="0" applyFont="1" applyFill="1" applyAlignment="1">
      <alignment horizontal="center" vertical="top" wrapText="1"/>
    </xf>
    <xf numFmtId="0" fontId="9" fillId="11" borderId="0" xfId="0" applyFont="1" applyFill="1" applyAlignment="1">
      <alignment horizontal="center" vertical="top" wrapText="1"/>
    </xf>
    <xf numFmtId="0" fontId="0" fillId="0" borderId="0" xfId="0"/>
    <xf numFmtId="0" fontId="17" fillId="0" borderId="10" xfId="0" applyNumberFormat="1" applyFont="1" applyFill="1" applyBorder="1" applyAlignment="1">
      <alignment horizontal="center" vertical="center" wrapText="1"/>
    </xf>
    <xf numFmtId="4" fontId="17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9" fontId="14" fillId="0" borderId="10" xfId="0" applyNumberFormat="1" applyFont="1" applyFill="1" applyBorder="1" applyAlignment="1">
      <alignment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9" fontId="14" fillId="2" borderId="10" xfId="0" applyNumberFormat="1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164" fontId="3" fillId="6" borderId="18" xfId="0" applyNumberFormat="1" applyFont="1" applyFill="1" applyBorder="1" applyAlignment="1">
      <alignment horizontal="right" vertical="top" wrapText="1"/>
    </xf>
    <xf numFmtId="10" fontId="24" fillId="7" borderId="16" xfId="0" applyNumberFormat="1" applyFont="1" applyFill="1" applyBorder="1" applyAlignment="1">
      <alignment vertical="top" wrapText="1"/>
    </xf>
    <xf numFmtId="4" fontId="24" fillId="7" borderId="16" xfId="0" applyNumberFormat="1" applyFont="1" applyFill="1" applyBorder="1" applyAlignment="1">
      <alignment vertical="top" wrapText="1"/>
    </xf>
    <xf numFmtId="49" fontId="28" fillId="12" borderId="0" xfId="1" applyNumberFormat="1" applyFont="1" applyFill="1" applyBorder="1" applyAlignment="1">
      <alignment vertical="center"/>
    </xf>
    <xf numFmtId="49" fontId="28" fillId="0" borderId="0" xfId="1" applyNumberFormat="1" applyFont="1" applyBorder="1" applyAlignment="1">
      <alignment vertical="center"/>
    </xf>
    <xf numFmtId="0" fontId="25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 wrapText="1"/>
    </xf>
    <xf numFmtId="49" fontId="28" fillId="0" borderId="6" xfId="1" applyNumberFormat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2" xfId="1" quotePrefix="1" applyFont="1" applyBorder="1" applyAlignment="1">
      <alignment horizontal="center" vertical="center" wrapText="1"/>
    </xf>
    <xf numFmtId="0" fontId="28" fillId="12" borderId="0" xfId="1" applyFont="1" applyFill="1"/>
    <xf numFmtId="0" fontId="28" fillId="0" borderId="0" xfId="1" applyFont="1"/>
    <xf numFmtId="0" fontId="25" fillId="0" borderId="24" xfId="1" applyFont="1" applyFill="1" applyBorder="1" applyAlignment="1">
      <alignment horizontal="center" vertical="center" wrapText="1"/>
    </xf>
    <xf numFmtId="166" fontId="25" fillId="0" borderId="11" xfId="3" applyFont="1" applyFill="1" applyBorder="1" applyAlignment="1" applyProtection="1">
      <alignment horizontal="center" vertical="center"/>
    </xf>
    <xf numFmtId="10" fontId="30" fillId="0" borderId="25" xfId="4" applyNumberFormat="1" applyFont="1" applyFill="1" applyBorder="1" applyAlignment="1" applyProtection="1">
      <alignment horizontal="center" vertical="center"/>
    </xf>
    <xf numFmtId="166" fontId="25" fillId="0" borderId="27" xfId="3" applyFont="1" applyFill="1" applyBorder="1" applyAlignment="1" applyProtection="1">
      <alignment horizontal="center" vertical="center"/>
    </xf>
    <xf numFmtId="10" fontId="30" fillId="0" borderId="12" xfId="4" applyNumberFormat="1" applyFont="1" applyFill="1" applyBorder="1" applyAlignment="1" applyProtection="1">
      <alignment horizontal="center" vertical="center"/>
    </xf>
    <xf numFmtId="0" fontId="25" fillId="0" borderId="0" xfId="1" applyFont="1" applyBorder="1" applyAlignment="1">
      <alignment horizontal="left" vertical="center"/>
    </xf>
    <xf numFmtId="9" fontId="28" fillId="0" borderId="0" xfId="4" applyFont="1" applyBorder="1" applyAlignment="1" applyProtection="1">
      <alignment horizontal="center" vertical="center"/>
    </xf>
    <xf numFmtId="166" fontId="25" fillId="0" borderId="0" xfId="3" applyFont="1" applyBorder="1" applyAlignment="1" applyProtection="1">
      <alignment horizontal="center" vertical="center"/>
    </xf>
    <xf numFmtId="10" fontId="25" fillId="0" borderId="0" xfId="4" applyNumberFormat="1" applyFont="1" applyBorder="1" applyAlignment="1" applyProtection="1">
      <alignment horizontal="center" vertical="center"/>
    </xf>
    <xf numFmtId="166" fontId="31" fillId="13" borderId="22" xfId="1" applyNumberFormat="1" applyFont="1" applyFill="1" applyBorder="1" applyAlignment="1">
      <alignment vertical="center"/>
    </xf>
    <xf numFmtId="0" fontId="25" fillId="12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10" fontId="33" fillId="13" borderId="28" xfId="4" applyNumberFormat="1" applyFont="1" applyFill="1" applyBorder="1" applyAlignment="1" applyProtection="1">
      <alignment horizontal="center" vertical="center"/>
    </xf>
    <xf numFmtId="166" fontId="25" fillId="0" borderId="25" xfId="1" applyNumberFormat="1" applyFont="1" applyFill="1" applyBorder="1" applyAlignment="1">
      <alignment vertical="center"/>
    </xf>
    <xf numFmtId="10" fontId="28" fillId="0" borderId="28" xfId="4" applyNumberFormat="1" applyFont="1" applyFill="1" applyBorder="1" applyAlignment="1" applyProtection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0" fontId="25" fillId="12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28" fillId="0" borderId="0" xfId="1" applyNumberFormat="1" applyFont="1" applyAlignment="1">
      <alignment horizontal="center" vertical="center"/>
    </xf>
    <xf numFmtId="0" fontId="28" fillId="12" borderId="0" xfId="1" applyFont="1" applyFill="1" applyAlignment="1">
      <alignment horizontal="center" vertical="center"/>
    </xf>
    <xf numFmtId="0" fontId="25" fillId="0" borderId="0" xfId="1" applyFont="1"/>
    <xf numFmtId="0" fontId="25" fillId="0" borderId="13" xfId="1" applyFont="1" applyBorder="1" applyAlignment="1">
      <alignment horizontal="center" vertical="center"/>
    </xf>
    <xf numFmtId="0" fontId="19" fillId="0" borderId="21" xfId="1" applyFont="1" applyBorder="1" applyAlignment="1">
      <alignment vertical="center"/>
    </xf>
    <xf numFmtId="0" fontId="15" fillId="0" borderId="0" xfId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6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left" vertical="center" wrapText="1"/>
    </xf>
    <xf numFmtId="17" fontId="22" fillId="0" borderId="9" xfId="1" quotePrefix="1" applyNumberFormat="1" applyFont="1" applyBorder="1" applyAlignment="1">
      <alignment horizontal="center" vertical="center" wrapText="1"/>
    </xf>
    <xf numFmtId="0" fontId="28" fillId="0" borderId="0" xfId="1" applyFont="1" applyAlignment="1">
      <alignment vertical="center"/>
    </xf>
    <xf numFmtId="10" fontId="15" fillId="0" borderId="4" xfId="4" applyNumberFormat="1" applyFont="1" applyFill="1" applyBorder="1" applyAlignment="1">
      <alignment horizontal="center" vertical="center"/>
    </xf>
    <xf numFmtId="10" fontId="15" fillId="0" borderId="9" xfId="4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10" fontId="15" fillId="0" borderId="0" xfId="4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vertical="center"/>
    </xf>
    <xf numFmtId="0" fontId="28" fillId="0" borderId="0" xfId="1" applyFont="1" applyBorder="1" applyAlignment="1">
      <alignment horizontal="center" vertical="center"/>
    </xf>
    <xf numFmtId="0" fontId="28" fillId="0" borderId="6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49" fontId="25" fillId="14" borderId="0" xfId="1" applyNumberFormat="1" applyFont="1" applyFill="1" applyBorder="1" applyAlignment="1">
      <alignment horizontal="center" vertical="center"/>
    </xf>
    <xf numFmtId="49" fontId="25" fillId="14" borderId="0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10" fontId="28" fillId="0" borderId="0" xfId="4" applyNumberFormat="1" applyFont="1" applyFill="1" applyBorder="1" applyAlignment="1">
      <alignment horizontal="center" vertical="center" wrapText="1"/>
    </xf>
    <xf numFmtId="10" fontId="35" fillId="0" borderId="0" xfId="4" applyNumberFormat="1" applyFont="1" applyBorder="1" applyAlignment="1">
      <alignment horizontal="center" vertical="center"/>
    </xf>
    <xf numFmtId="0" fontId="28" fillId="14" borderId="0" xfId="1" applyFont="1" applyFill="1" applyBorder="1" applyAlignment="1">
      <alignment horizontal="center" vertical="center"/>
    </xf>
    <xf numFmtId="0" fontId="28" fillId="14" borderId="0" xfId="1" applyFont="1" applyFill="1" applyBorder="1" applyAlignment="1">
      <alignment horizontal="center" vertical="center"/>
    </xf>
    <xf numFmtId="10" fontId="28" fillId="14" borderId="0" xfId="4" applyNumberFormat="1" applyFont="1" applyFill="1" applyBorder="1" applyAlignment="1">
      <alignment horizontal="center" vertical="center" wrapText="1"/>
    </xf>
    <xf numFmtId="10" fontId="35" fillId="14" borderId="0" xfId="4" applyNumberFormat="1" applyFont="1" applyFill="1" applyBorder="1" applyAlignment="1">
      <alignment horizontal="center" vertical="center"/>
    </xf>
    <xf numFmtId="10" fontId="28" fillId="0" borderId="0" xfId="4" applyNumberFormat="1" applyFont="1" applyFill="1" applyBorder="1" applyAlignment="1">
      <alignment horizontal="center" vertical="center"/>
    </xf>
    <xf numFmtId="10" fontId="28" fillId="14" borderId="0" xfId="4" applyNumberFormat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left" vertical="center"/>
    </xf>
    <xf numFmtId="10" fontId="25" fillId="0" borderId="3" xfId="4" applyNumberFormat="1" applyFont="1" applyFill="1" applyBorder="1" applyAlignment="1">
      <alignment horizontal="center" vertical="center"/>
    </xf>
    <xf numFmtId="10" fontId="30" fillId="0" borderId="3" xfId="4" applyNumberFormat="1" applyFont="1" applyBorder="1" applyAlignment="1">
      <alignment horizontal="center"/>
    </xf>
    <xf numFmtId="0" fontId="25" fillId="12" borderId="8" xfId="1" applyFont="1" applyFill="1" applyBorder="1" applyAlignment="1">
      <alignment horizontal="center" vertical="center"/>
    </xf>
    <xf numFmtId="0" fontId="25" fillId="12" borderId="8" xfId="1" applyFont="1" applyFill="1" applyBorder="1" applyAlignment="1">
      <alignment vertical="center"/>
    </xf>
    <xf numFmtId="10" fontId="25" fillId="12" borderId="8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37" fillId="3" borderId="17" xfId="0" applyFont="1" applyFill="1" applyBorder="1" applyAlignment="1">
      <alignment horizontal="center" vertical="top" wrapText="1"/>
    </xf>
    <xf numFmtId="0" fontId="37" fillId="3" borderId="1" xfId="0" applyFont="1" applyFill="1" applyBorder="1" applyAlignment="1">
      <alignment horizontal="left" vertical="top" wrapText="1"/>
    </xf>
    <xf numFmtId="0" fontId="37" fillId="4" borderId="1" xfId="0" applyFont="1" applyFill="1" applyBorder="1" applyAlignment="1">
      <alignment horizontal="right" vertical="top" wrapText="1"/>
    </xf>
    <xf numFmtId="4" fontId="37" fillId="5" borderId="1" xfId="0" applyNumberFormat="1" applyFont="1" applyFill="1" applyBorder="1" applyAlignment="1">
      <alignment horizontal="right" vertical="top" wrapText="1"/>
    </xf>
    <xf numFmtId="164" fontId="37" fillId="6" borderId="18" xfId="0" applyNumberFormat="1" applyFont="1" applyFill="1" applyBorder="1" applyAlignment="1">
      <alignment horizontal="right" vertical="top" wrapText="1"/>
    </xf>
    <xf numFmtId="0" fontId="38" fillId="12" borderId="17" xfId="0" applyFont="1" applyFill="1" applyBorder="1" applyAlignment="1">
      <alignment horizontal="center" vertical="top" wrapText="1"/>
    </xf>
    <xf numFmtId="0" fontId="38" fillId="12" borderId="1" xfId="0" applyFont="1" applyFill="1" applyBorder="1" applyAlignment="1">
      <alignment horizontal="right" vertical="top" wrapText="1"/>
    </xf>
    <xf numFmtId="0" fontId="38" fillId="12" borderId="1" xfId="0" applyFont="1" applyFill="1" applyBorder="1" applyAlignment="1">
      <alignment horizontal="left" vertical="top" wrapText="1"/>
    </xf>
    <xf numFmtId="0" fontId="38" fillId="12" borderId="1" xfId="0" applyFont="1" applyFill="1" applyBorder="1" applyAlignment="1">
      <alignment horizontal="center" vertical="top" wrapText="1"/>
    </xf>
    <xf numFmtId="4" fontId="38" fillId="12" borderId="1" xfId="0" applyNumberFormat="1" applyFont="1" applyFill="1" applyBorder="1" applyAlignment="1">
      <alignment horizontal="right" vertical="top" wrapText="1"/>
    </xf>
    <xf numFmtId="10" fontId="38" fillId="12" borderId="18" xfId="0" applyNumberFormat="1" applyFont="1" applyFill="1" applyBorder="1" applyAlignment="1">
      <alignment horizontal="right" vertical="top" wrapText="1"/>
    </xf>
    <xf numFmtId="4" fontId="37" fillId="4" borderId="1" xfId="0" applyNumberFormat="1" applyFont="1" applyFill="1" applyBorder="1" applyAlignment="1">
      <alignment horizontal="right" vertical="top" wrapText="1"/>
    </xf>
    <xf numFmtId="164" fontId="38" fillId="12" borderId="18" xfId="0" applyNumberFormat="1" applyFont="1" applyFill="1" applyBorder="1" applyAlignment="1">
      <alignment horizontal="right" vertical="top" wrapText="1"/>
    </xf>
    <xf numFmtId="0" fontId="38" fillId="12" borderId="19" xfId="0" applyFont="1" applyFill="1" applyBorder="1" applyAlignment="1">
      <alignment horizontal="center" vertical="top" wrapText="1"/>
    </xf>
    <xf numFmtId="0" fontId="38" fillId="12" borderId="20" xfId="0" applyFont="1" applyFill="1" applyBorder="1" applyAlignment="1">
      <alignment horizontal="right" vertical="top" wrapText="1"/>
    </xf>
    <xf numFmtId="0" fontId="38" fillId="12" borderId="20" xfId="0" applyFont="1" applyFill="1" applyBorder="1" applyAlignment="1">
      <alignment horizontal="left" vertical="top" wrapText="1"/>
    </xf>
    <xf numFmtId="0" fontId="38" fillId="12" borderId="20" xfId="0" applyFont="1" applyFill="1" applyBorder="1" applyAlignment="1">
      <alignment horizontal="center" vertical="top" wrapText="1"/>
    </xf>
    <xf numFmtId="4" fontId="38" fillId="12" borderId="20" xfId="0" applyNumberFormat="1" applyFont="1" applyFill="1" applyBorder="1" applyAlignment="1">
      <alignment horizontal="right" vertical="top" wrapText="1"/>
    </xf>
    <xf numFmtId="0" fontId="0" fillId="11" borderId="0" xfId="0" applyFont="1" applyFill="1" applyAlignment="1">
      <alignment horizontal="center" vertical="top" wrapText="1"/>
    </xf>
    <xf numFmtId="0" fontId="39" fillId="8" borderId="0" xfId="0" applyFont="1" applyFill="1" applyAlignment="1">
      <alignment horizontal="center" vertical="top" wrapText="1"/>
    </xf>
    <xf numFmtId="0" fontId="38" fillId="12" borderId="1" xfId="0" applyFont="1" applyFill="1" applyBorder="1" applyAlignment="1">
      <alignment horizontal="justify" vertical="top" wrapText="1"/>
    </xf>
    <xf numFmtId="0" fontId="37" fillId="3" borderId="1" xfId="0" applyFont="1" applyFill="1" applyBorder="1" applyAlignment="1">
      <alignment horizontal="justify" vertical="top" wrapText="1"/>
    </xf>
    <xf numFmtId="4" fontId="39" fillId="7" borderId="16" xfId="0" applyNumberFormat="1" applyFont="1" applyFill="1" applyBorder="1" applyAlignment="1">
      <alignment vertical="center" wrapText="1"/>
    </xf>
    <xf numFmtId="10" fontId="39" fillId="7" borderId="16" xfId="0" applyNumberFormat="1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left" vertical="top" shrinkToFit="1"/>
    </xf>
    <xf numFmtId="0" fontId="38" fillId="12" borderId="1" xfId="0" applyFont="1" applyFill="1" applyBorder="1" applyAlignment="1">
      <alignment horizontal="right" vertical="top" shrinkToFit="1"/>
    </xf>
    <xf numFmtId="10" fontId="0" fillId="0" borderId="0" xfId="0" applyNumberFormat="1"/>
    <xf numFmtId="4" fontId="38" fillId="12" borderId="30" xfId="0" applyNumberFormat="1" applyFont="1" applyFill="1" applyBorder="1" applyAlignment="1">
      <alignment horizontal="right" vertical="top" wrapText="1"/>
    </xf>
    <xf numFmtId="164" fontId="38" fillId="12" borderId="31" xfId="0" applyNumberFormat="1" applyFont="1" applyFill="1" applyBorder="1" applyAlignment="1">
      <alignment horizontal="right" vertical="top" wrapText="1"/>
    </xf>
    <xf numFmtId="0" fontId="0" fillId="11" borderId="29" xfId="0" applyFont="1" applyFill="1" applyBorder="1" applyAlignment="1">
      <alignment horizontal="center" vertical="top" wrapText="1"/>
    </xf>
    <xf numFmtId="4" fontId="0" fillId="0" borderId="0" xfId="0" applyNumberFormat="1"/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left" vertical="top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25" fillId="0" borderId="0" xfId="1" applyNumberFormat="1" applyFont="1" applyAlignment="1">
      <alignment horizontal="left" vertical="center"/>
    </xf>
    <xf numFmtId="10" fontId="25" fillId="12" borderId="14" xfId="1" applyNumberFormat="1" applyFont="1" applyFill="1" applyBorder="1" applyAlignment="1">
      <alignment horizontal="center" vertical="center"/>
    </xf>
    <xf numFmtId="0" fontId="0" fillId="0" borderId="0" xfId="0"/>
    <xf numFmtId="9" fontId="0" fillId="0" borderId="0" xfId="0" applyNumberFormat="1"/>
    <xf numFmtId="0" fontId="0" fillId="0" borderId="0" xfId="0"/>
    <xf numFmtId="0" fontId="38" fillId="0" borderId="1" xfId="0" applyFont="1" applyBorder="1" applyAlignment="1">
      <alignment horizontal="right" vertical="top" wrapText="1"/>
    </xf>
    <xf numFmtId="0" fontId="38" fillId="0" borderId="1" xfId="0" applyFont="1" applyBorder="1" applyAlignment="1">
      <alignment horizontal="left" vertical="top" wrapText="1"/>
    </xf>
    <xf numFmtId="0" fontId="37" fillId="6" borderId="1" xfId="0" applyFont="1" applyFill="1" applyBorder="1" applyAlignment="1">
      <alignment horizontal="left" vertical="top" wrapText="1"/>
    </xf>
    <xf numFmtId="0" fontId="37" fillId="6" borderId="1" xfId="0" applyFont="1" applyFill="1" applyBorder="1" applyAlignment="1">
      <alignment horizontal="justify" vertical="top" wrapText="1"/>
    </xf>
    <xf numFmtId="4" fontId="37" fillId="6" borderId="1" xfId="0" applyNumberFormat="1" applyFont="1" applyFill="1" applyBorder="1" applyAlignment="1">
      <alignment horizontal="right" vertical="top" wrapText="1"/>
    </xf>
    <xf numFmtId="0" fontId="38" fillId="12" borderId="1" xfId="0" applyFont="1" applyFill="1" applyBorder="1" applyAlignment="1">
      <alignment horizontal="right" vertical="top"/>
    </xf>
    <xf numFmtId="0" fontId="38" fillId="12" borderId="1" xfId="0" applyFont="1" applyFill="1" applyBorder="1" applyAlignment="1">
      <alignment horizontal="left" vertical="top"/>
    </xf>
    <xf numFmtId="0" fontId="38" fillId="12" borderId="1" xfId="0" applyFont="1" applyFill="1" applyBorder="1" applyAlignment="1">
      <alignment horizontal="justify" vertical="top"/>
    </xf>
    <xf numFmtId="0" fontId="23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right" vertical="top" wrapText="1"/>
    </xf>
    <xf numFmtId="0" fontId="5" fillId="7" borderId="0" xfId="0" applyFont="1" applyFill="1" applyAlignment="1">
      <alignment horizontal="left" vertical="top" wrapText="1"/>
    </xf>
    <xf numFmtId="4" fontId="8" fillId="10" borderId="0" xfId="0" applyNumberFormat="1" applyFont="1" applyFill="1" applyAlignment="1">
      <alignment horizontal="right" vertical="top" wrapText="1"/>
    </xf>
    <xf numFmtId="0" fontId="39" fillId="7" borderId="0" xfId="0" applyFont="1" applyFill="1" applyAlignment="1">
      <alignment horizontal="left" vertical="top" wrapText="1"/>
    </xf>
    <xf numFmtId="0" fontId="39" fillId="9" borderId="0" xfId="0" applyFont="1" applyFill="1" applyAlignment="1">
      <alignment horizontal="left" vertical="top" wrapText="1"/>
    </xf>
    <xf numFmtId="0" fontId="39" fillId="7" borderId="16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12" fillId="7" borderId="16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66" fontId="25" fillId="0" borderId="25" xfId="3" applyFont="1" applyFill="1" applyBorder="1" applyAlignment="1" applyProtection="1">
      <alignment horizontal="center" vertical="top"/>
    </xf>
    <xf numFmtId="166" fontId="25" fillId="0" borderId="26" xfId="3" applyFont="1" applyFill="1" applyBorder="1" applyAlignment="1" applyProtection="1">
      <alignment horizontal="center" vertical="top"/>
    </xf>
    <xf numFmtId="0" fontId="25" fillId="0" borderId="26" xfId="1" applyFont="1" applyFill="1" applyBorder="1" applyAlignment="1">
      <alignment horizontal="left" vertical="top" wrapText="1"/>
    </xf>
    <xf numFmtId="10" fontId="25" fillId="0" borderId="26" xfId="4" applyNumberFormat="1" applyFont="1" applyFill="1" applyBorder="1" applyAlignment="1" applyProtection="1">
      <alignment horizontal="center" vertical="top"/>
    </xf>
    <xf numFmtId="0" fontId="25" fillId="0" borderId="26" xfId="1" applyFont="1" applyFill="1" applyBorder="1" applyAlignment="1">
      <alignment horizontal="center" vertical="top"/>
    </xf>
    <xf numFmtId="165" fontId="28" fillId="0" borderId="0" xfId="2" applyFont="1" applyBorder="1" applyAlignment="1" applyProtection="1">
      <alignment horizontal="center" vertical="center"/>
    </xf>
    <xf numFmtId="165" fontId="28" fillId="0" borderId="0" xfId="2" applyFont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31" fillId="13" borderId="22" xfId="1" applyFont="1" applyFill="1" applyBorder="1" applyAlignment="1">
      <alignment horizontal="center" vertical="center"/>
    </xf>
    <xf numFmtId="0" fontId="31" fillId="13" borderId="28" xfId="1" applyFont="1" applyFill="1" applyBorder="1" applyAlignment="1">
      <alignment horizontal="center" vertical="center"/>
    </xf>
    <xf numFmtId="166" fontId="32" fillId="13" borderId="22" xfId="3" applyFont="1" applyFill="1" applyBorder="1" applyAlignment="1" applyProtection="1">
      <alignment horizontal="center" vertical="center"/>
    </xf>
    <xf numFmtId="166" fontId="32" fillId="13" borderId="28" xfId="3" applyFont="1" applyFill="1" applyBorder="1" applyAlignment="1" applyProtection="1">
      <alignment horizontal="center" vertical="center"/>
    </xf>
    <xf numFmtId="10" fontId="31" fillId="13" borderId="22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166" fontId="25" fillId="0" borderId="25" xfId="3" applyFont="1" applyFill="1" applyBorder="1" applyAlignment="1" applyProtection="1">
      <alignment horizontal="center" vertical="center"/>
    </xf>
    <xf numFmtId="166" fontId="25" fillId="0" borderId="28" xfId="3" applyFont="1" applyFill="1" applyBorder="1" applyAlignment="1" applyProtection="1">
      <alignment horizontal="center" vertical="center"/>
    </xf>
    <xf numFmtId="0" fontId="25" fillId="0" borderId="28" xfId="1" applyFont="1" applyFill="1" applyBorder="1" applyAlignment="1">
      <alignment horizontal="center" vertical="top"/>
    </xf>
    <xf numFmtId="0" fontId="25" fillId="0" borderId="28" xfId="1" applyFont="1" applyFill="1" applyBorder="1" applyAlignment="1">
      <alignment horizontal="left" vertical="top" wrapText="1"/>
    </xf>
    <xf numFmtId="166" fontId="25" fillId="0" borderId="28" xfId="3" applyFont="1" applyFill="1" applyBorder="1" applyAlignment="1" applyProtection="1">
      <alignment horizontal="center" vertical="top"/>
    </xf>
    <xf numFmtId="10" fontId="25" fillId="0" borderId="28" xfId="4" applyNumberFormat="1" applyFont="1" applyFill="1" applyBorder="1" applyAlignment="1" applyProtection="1">
      <alignment horizontal="center" vertical="top"/>
    </xf>
    <xf numFmtId="0" fontId="25" fillId="0" borderId="25" xfId="1" applyFont="1" applyFill="1" applyBorder="1" applyAlignment="1">
      <alignment horizontal="center" vertical="top"/>
    </xf>
    <xf numFmtId="0" fontId="25" fillId="0" borderId="25" xfId="1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25" fillId="0" borderId="22" xfId="1" applyFont="1" applyFill="1" applyBorder="1" applyAlignment="1">
      <alignment horizontal="center" vertical="center" wrapText="1"/>
    </xf>
    <xf numFmtId="0" fontId="25" fillId="0" borderId="23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4" fontId="29" fillId="0" borderId="22" xfId="2" applyNumberFormat="1" applyFont="1" applyFill="1" applyBorder="1" applyAlignment="1" applyProtection="1">
      <alignment horizontal="center" vertical="center" wrapText="1"/>
    </xf>
    <xf numFmtId="4" fontId="29" fillId="0" borderId="23" xfId="2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8" fillId="14" borderId="0" xfId="1" applyFont="1" applyFill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15" fillId="0" borderId="13" xfId="1" applyFont="1" applyBorder="1" applyAlignment="1">
      <alignment horizontal="left" vertical="top" wrapText="1"/>
    </xf>
    <xf numFmtId="0" fontId="15" fillId="0" borderId="14" xfId="1" applyBorder="1" applyAlignment="1">
      <alignment horizontal="left" vertical="top" wrapText="1"/>
    </xf>
    <xf numFmtId="0" fontId="15" fillId="0" borderId="15" xfId="1" applyBorder="1" applyAlignment="1">
      <alignment horizontal="left" vertical="top" wrapText="1"/>
    </xf>
    <xf numFmtId="49" fontId="25" fillId="14" borderId="0" xfId="1" applyNumberFormat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3" xfId="1" applyBorder="1" applyAlignment="1">
      <alignment horizontal="left" vertical="top" wrapText="1"/>
    </xf>
    <xf numFmtId="0" fontId="20" fillId="0" borderId="21" xfId="1" applyFont="1" applyBorder="1" applyAlignment="1">
      <alignment horizontal="right" wrapText="1"/>
    </xf>
    <xf numFmtId="0" fontId="15" fillId="0" borderId="2" xfId="1" applyFont="1" applyFill="1" applyBorder="1" applyAlignment="1">
      <alignment horizontal="right" vertical="center" wrapText="1"/>
    </xf>
    <xf numFmtId="0" fontId="15" fillId="0" borderId="3" xfId="1" applyFont="1" applyFill="1" applyBorder="1" applyAlignment="1">
      <alignment horizontal="right" vertical="center" wrapText="1"/>
    </xf>
    <xf numFmtId="0" fontId="15" fillId="0" borderId="7" xfId="1" applyFont="1" applyFill="1" applyBorder="1" applyAlignment="1">
      <alignment horizontal="right" vertical="center"/>
    </xf>
    <xf numFmtId="0" fontId="15" fillId="0" borderId="8" xfId="1" applyFont="1" applyFill="1" applyBorder="1" applyAlignment="1">
      <alignment horizontal="right" vertical="center"/>
    </xf>
    <xf numFmtId="0" fontId="34" fillId="0" borderId="13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</cellXfs>
  <cellStyles count="5">
    <cellStyle name="Moeda 2" xfId="3"/>
    <cellStyle name="Normal" xfId="0" builtinId="0"/>
    <cellStyle name="Normal 2" xfId="1"/>
    <cellStyle name="Porcentagem 2" xfId="4"/>
    <cellStyle name="Vírgula 2" xfId="2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[1]DADOS!$D$46" lockText="1" noThreeD="1"/>
</file>

<file path=xl/ctrlProps/ctrlProp2.xml><?xml version="1.0" encoding="utf-8"?>
<formControlPr xmlns="http://schemas.microsoft.com/office/spreadsheetml/2009/9/main" objectType="CheckBox" fmlaLink="[1]DADOS!$D$47" lockText="1" noThreeD="1"/>
</file>

<file path=xl/ctrlProps/ctrlProp3.xml><?xml version="1.0" encoding="utf-8"?>
<formControlPr xmlns="http://schemas.microsoft.com/office/spreadsheetml/2009/9/main" objectType="CheckBox" checked="Checked" fmlaLink="[1]DADOS!$D$46" lockText="1" noThreeD="1"/>
</file>

<file path=xl/ctrlProps/ctrlProp4.xml><?xml version="1.0" encoding="utf-8"?>
<formControlPr xmlns="http://schemas.microsoft.com/office/spreadsheetml/2009/9/main" objectType="CheckBox" fmlaLink="[1]DADOS!$D$4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171450</xdr:rowOff>
    </xdr:from>
    <xdr:to>
      <xdr:col>2</xdr:col>
      <xdr:colOff>772908</xdr:colOff>
      <xdr:row>1</xdr:row>
      <xdr:rowOff>352425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71450"/>
          <a:ext cx="2277857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171450</xdr:rowOff>
    </xdr:from>
    <xdr:to>
      <xdr:col>2</xdr:col>
      <xdr:colOff>772908</xdr:colOff>
      <xdr:row>1</xdr:row>
      <xdr:rowOff>352425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71450"/>
          <a:ext cx="2277857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171450</xdr:rowOff>
    </xdr:from>
    <xdr:to>
      <xdr:col>2</xdr:col>
      <xdr:colOff>772908</xdr:colOff>
      <xdr:row>1</xdr:row>
      <xdr:rowOff>352425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71450"/>
          <a:ext cx="2277857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171450</xdr:rowOff>
    </xdr:from>
    <xdr:to>
      <xdr:col>2</xdr:col>
      <xdr:colOff>772908</xdr:colOff>
      <xdr:row>1</xdr:row>
      <xdr:rowOff>352425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71450"/>
          <a:ext cx="2277857" cy="79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190500</xdr:rowOff>
    </xdr:from>
    <xdr:to>
      <xdr:col>1</xdr:col>
      <xdr:colOff>1619250</xdr:colOff>
      <xdr:row>1</xdr:row>
      <xdr:rowOff>380913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0"/>
          <a:ext cx="2305050" cy="80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114300</xdr:rowOff>
    </xdr:from>
    <xdr:to>
      <xdr:col>1</xdr:col>
      <xdr:colOff>1571625</xdr:colOff>
      <xdr:row>0</xdr:row>
      <xdr:rowOff>825055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4300"/>
          <a:ext cx="2047875" cy="7107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1203293</xdr:colOff>
      <xdr:row>33</xdr:row>
      <xdr:rowOff>117951</xdr:rowOff>
    </xdr:from>
    <xdr:ext cx="3279424" cy="328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/>
            <xdr:cNvSpPr txBox="1"/>
          </xdr:nvSpPr>
          <xdr:spPr>
            <a:xfrm>
              <a:off x="1908143" y="6337776"/>
              <a:ext cx="3279424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1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1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AC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R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G</m:t>
                            </m:r>
                          </m:e>
                        </m:d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DF</m:t>
                            </m:r>
                          </m:e>
                        </m:d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L</m:t>
                            </m:r>
                          </m:e>
                        </m:d>
                      </m:num>
                      <m:den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CP</m:t>
                        </m:r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ISS</m:t>
                        </m:r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CRPB</m:t>
                        </m:r>
                      </m:den>
                    </m:f>
                    <m:r>
                      <a:rPr lang="pt-BR" sz="1100" b="0" i="0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1908143" y="6337776"/>
              <a:ext cx="3279424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BDI=((1+AC+S+R+G)∗(1+DF)∗(1+L))/(1−CP−ISS−CRPB)−1</a:t>
              </a:r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55544</xdr:colOff>
      <xdr:row>0</xdr:row>
      <xdr:rowOff>57977</xdr:rowOff>
    </xdr:from>
    <xdr:to>
      <xdr:col>1</xdr:col>
      <xdr:colOff>371475</xdr:colOff>
      <xdr:row>0</xdr:row>
      <xdr:rowOff>866774</xdr:rowOff>
    </xdr:to>
    <xdr:pic>
      <xdr:nvPicPr>
        <xdr:cNvPr id="3" name="Imagem 2" descr="http://192.168.0.2/intranet2007/logo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4" y="57977"/>
          <a:ext cx="1020781" cy="80879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0</xdr:rowOff>
        </xdr:from>
        <xdr:to>
          <xdr:col>0</xdr:col>
          <xdr:colOff>314325</xdr:colOff>
          <xdr:row>28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180975</xdr:rowOff>
        </xdr:from>
        <xdr:to>
          <xdr:col>0</xdr:col>
          <xdr:colOff>314325</xdr:colOff>
          <xdr:row>29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603218</xdr:colOff>
      <xdr:row>55</xdr:row>
      <xdr:rowOff>98901</xdr:rowOff>
    </xdr:from>
    <xdr:ext cx="14034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aixaDeTexto 5"/>
            <xdr:cNvSpPr txBox="1"/>
          </xdr:nvSpPr>
          <xdr:spPr>
            <a:xfrm>
              <a:off x="2689193" y="10319226"/>
              <a:ext cx="14034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100" b="0" i="0">
                        <a:latin typeface="Cambria Math" panose="02040503050406030204" pitchFamily="18" charset="0"/>
                      </a:rPr>
                      <m:t>LDI</m:t>
                    </m:r>
                    <m:r>
                      <a:rPr lang="pt-BR" sz="11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𝐷𝐼</m:t>
                        </m:r>
                      </m:e>
                    </m:d>
                    <m:r>
                      <a:rPr lang="pt-BR" sz="1100" b="0" i="1">
                        <a:latin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1+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den>
                    </m:f>
                  </m:oMath>
                </m:oMathPara>
              </a14:m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" name="CaixaDeTexto 5"/>
            <xdr:cNvSpPr txBox="1"/>
          </xdr:nvSpPr>
          <xdr:spPr>
            <a:xfrm>
              <a:off x="2689193" y="10319226"/>
              <a:ext cx="14034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LDI=(1+𝐷𝐼)∗(1+𝐿)/(1−𝐼)</a:t>
              </a:r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1203293</xdr:colOff>
      <xdr:row>64</xdr:row>
      <xdr:rowOff>117951</xdr:rowOff>
    </xdr:from>
    <xdr:ext cx="3279424" cy="328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aixaDeTexto 6"/>
            <xdr:cNvSpPr txBox="1"/>
          </xdr:nvSpPr>
          <xdr:spPr>
            <a:xfrm>
              <a:off x="1907315" y="6412734"/>
              <a:ext cx="3279424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1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1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AC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S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R</m:t>
                            </m:r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G</m:t>
                            </m:r>
                          </m:e>
                        </m:d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DF</m:t>
                            </m:r>
                          </m:e>
                        </m:d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pt-BR" sz="1100" b="0" i="0">
                                <a:latin typeface="Cambria Math" panose="02040503050406030204" pitchFamily="18" charset="0"/>
                              </a:rPr>
                              <m:t>1+</m:t>
                            </m:r>
                            <m:r>
                              <m:rPr>
                                <m:sty m:val="p"/>
                              </m:rPr>
                              <a:rPr lang="pt-BR" sz="1100" b="0" i="0">
                                <a:latin typeface="Cambria Math" panose="02040503050406030204" pitchFamily="18" charset="0"/>
                              </a:rPr>
                              <m:t>L</m:t>
                            </m:r>
                          </m:e>
                        </m:d>
                      </m:num>
                      <m:den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CP</m:t>
                        </m:r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ISS</m:t>
                        </m:r>
                        <m:r>
                          <a:rPr lang="pt-BR" sz="11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sty m:val="p"/>
                          </m:rPr>
                          <a:rPr lang="pt-BR" sz="1100" b="0" i="0">
                            <a:latin typeface="Cambria Math" panose="02040503050406030204" pitchFamily="18" charset="0"/>
                          </a:rPr>
                          <m:t>CRPB</m:t>
                        </m:r>
                      </m:den>
                    </m:f>
                    <m:r>
                      <a:rPr lang="pt-BR" sz="1100" b="0" i="0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CaixaDeTexto 6"/>
            <xdr:cNvSpPr txBox="1"/>
          </xdr:nvSpPr>
          <xdr:spPr>
            <a:xfrm>
              <a:off x="1907315" y="6412734"/>
              <a:ext cx="3279424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100" b="0" i="0">
                  <a:latin typeface="Cambria Math" panose="02040503050406030204" pitchFamily="18" charset="0"/>
                </a:rPr>
                <a:t>BDI=((1+AC+S+R+G)∗(1+DF)∗(1+L))/(1−CP−ISS−CRPB)−1</a:t>
              </a:r>
              <a:endParaRPr lang="pt-BR" sz="1100" b="0" i="0">
                <a:latin typeface="Cambria" panose="02040503050406030204" pitchFamily="18" charset="0"/>
                <a:ea typeface="Cambria" panose="02040503050406030204" pitchFamily="18" charset="0"/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58</xdr:row>
          <xdr:rowOff>0</xdr:rowOff>
        </xdr:from>
        <xdr:to>
          <xdr:col>0</xdr:col>
          <xdr:colOff>314325</xdr:colOff>
          <xdr:row>59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58</xdr:row>
          <xdr:rowOff>180975</xdr:rowOff>
        </xdr:from>
        <xdr:to>
          <xdr:col>0</xdr:col>
          <xdr:colOff>314325</xdr:colOff>
          <xdr:row>60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lex\LICITA&#199;&#213;ES%20OBRAS%20DIVERSAS\2023\Caixa%20Divisora%20ETE\PLAN-Cx_Div_Vaz&#227;o-ETE-R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p002\OneDrive\Engenharia_PMSA\PROJETOS\2019.003%20-%20REFORMA%20GINASIO%20MARIO%20COVAS\LICITA&#199;&#195;O_R01\PM_V3.0.5-GMC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ta&#231;&#227;o%20tubos/Mapa%20cot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MAPA DE COTAÇÕES"/>
    </sheetNames>
    <sheetDataSet>
      <sheetData sheetId="0">
        <row r="4">
          <cell r="A4" t="str">
            <v>CONSTRUÇÃO DE EDIFÍCIOS</v>
          </cell>
          <cell r="B4">
            <v>0.2034</v>
          </cell>
          <cell r="C4">
            <v>0.22120000000000001</v>
          </cell>
          <cell r="D4">
            <v>0.25</v>
          </cell>
        </row>
        <row r="5">
          <cell r="A5" t="str">
            <v>CONSTRUÇÃO DE RODOVIAS E FERROVIAS</v>
          </cell>
          <cell r="B5">
            <v>0.19600000000000001</v>
          </cell>
          <cell r="C5">
            <v>0.2097</v>
          </cell>
          <cell r="D5">
            <v>0.24229999999999999</v>
          </cell>
        </row>
        <row r="6">
          <cell r="A6" t="str">
            <v>CONSTRUÇÃO DE REDES DE ABASTECIMENTO DE ÁGUA, COLETA DE ESGOTO E CONSTRUÇÕES CORRELATAS</v>
          </cell>
          <cell r="B6">
            <v>0.20760000000000001</v>
          </cell>
          <cell r="C6">
            <v>0.24179999999999999</v>
          </cell>
          <cell r="D6">
            <v>0.26440000000000002</v>
          </cell>
        </row>
        <row r="7">
          <cell r="A7" t="str">
            <v xml:space="preserve">OBRAS PORTUÁRIAS, MARÍTIMAS E FLUVIAIS </v>
          </cell>
          <cell r="B7">
            <v>0.22800000000000001</v>
          </cell>
          <cell r="C7">
            <v>0.27479999999999999</v>
          </cell>
          <cell r="D7">
            <v>0.3095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BDI PARA ITENS DE MERO FORNECIMENTO DE MATERIAIS E EQUIPAMENTOS</v>
          </cell>
          <cell r="B9">
            <v>0.111</v>
          </cell>
          <cell r="C9">
            <v>0.14019999999999999</v>
          </cell>
          <cell r="D9">
            <v>0.16800000000000001</v>
          </cell>
        </row>
        <row r="12">
          <cell r="A12" t="str">
            <v>ADMINISTRAÇÃO CENTRAL</v>
          </cell>
          <cell r="B12" t="str">
            <v>1° Quartil</v>
          </cell>
          <cell r="C12" t="str">
            <v>Médio</v>
          </cell>
          <cell r="D12" t="str">
            <v>3° Quartil</v>
          </cell>
        </row>
        <row r="13">
          <cell r="A13" t="str">
            <v>CONSTRUÇÃO DE EDIFÍCIOS</v>
          </cell>
          <cell r="B13">
            <v>0.03</v>
          </cell>
          <cell r="C13">
            <v>0.04</v>
          </cell>
          <cell r="D13">
            <v>5.5E-2</v>
          </cell>
        </row>
        <row r="14">
          <cell r="A14" t="str">
            <v>CONSTRUÇÃO DE RODOVIAS E FERROVIAS</v>
          </cell>
          <cell r="B14">
            <v>3.7999999999999999E-2</v>
          </cell>
          <cell r="C14">
            <v>4.0099999999999997E-2</v>
          </cell>
          <cell r="D14">
            <v>4.6699999999999998E-2</v>
          </cell>
        </row>
        <row r="15">
          <cell r="A15" t="str">
            <v>CONSTRUÇÃO DE REDES DE ABASTECIMENTO DE ÁGUA, COLETA DE ESGOTO E CONSTRUÇÕES CORRELATAS</v>
          </cell>
          <cell r="B15">
            <v>3.4299999999999997E-2</v>
          </cell>
          <cell r="C15">
            <v>4.9299999999999997E-2</v>
          </cell>
          <cell r="D15">
            <v>6.7100000000000007E-2</v>
          </cell>
        </row>
        <row r="16">
          <cell r="A16" t="str">
            <v xml:space="preserve">CONSTRUÇÃO E MANUTENÇÃO DE ESTAÇÕES E REDES DE DISTRIBUIÇÃO DE ENERGIA ELÉTRICA </v>
          </cell>
          <cell r="B16">
            <v>5.2900000000000003E-2</v>
          </cell>
          <cell r="C16">
            <v>5.9200000000000003E-2</v>
          </cell>
          <cell r="D16">
            <v>7.9299999999999995E-2</v>
          </cell>
        </row>
        <row r="17">
          <cell r="A17" t="str">
            <v>SEGURO + GARANTIA</v>
          </cell>
          <cell r="B17" t="str">
            <v>1° Quartil</v>
          </cell>
          <cell r="C17" t="str">
            <v>Médio</v>
          </cell>
          <cell r="D17" t="str">
            <v>3° Quartil</v>
          </cell>
        </row>
        <row r="18">
          <cell r="A18" t="str">
            <v>CONSTRUÇÃO DE EDIFÍCIOS</v>
          </cell>
          <cell r="B18">
            <v>8.0000000000000002E-3</v>
          </cell>
          <cell r="C18">
            <v>8.0000000000000002E-3</v>
          </cell>
          <cell r="D18">
            <v>0.01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CONSTRUÇÃO DE RODOVIAS E FERROVIAS</v>
          </cell>
          <cell r="B20">
            <v>3.2000000000000002E-3</v>
          </cell>
          <cell r="C20">
            <v>4.0000000000000001E-3</v>
          </cell>
          <cell r="D20">
            <v>7.4000000000000003E-3</v>
          </cell>
        </row>
        <row r="21">
          <cell r="A21" t="str">
            <v>CONSTRUÇÃO DE REDES DE ABASTECIMENTO DE ÁGUA, COLETA DE ESGOTO E CONSTRUÇÕES CORRELATAS</v>
          </cell>
          <cell r="B21">
            <v>2.8E-3</v>
          </cell>
          <cell r="C21">
            <v>4.8999999999999998E-3</v>
          </cell>
          <cell r="D21">
            <v>7.4999999999999997E-3</v>
          </cell>
        </row>
        <row r="22">
          <cell r="A22" t="str">
            <v xml:space="preserve">CONSTRUÇÃO E MANUTENÇÃO DE ESTAÇÕES E REDES DE DISTRIBUIÇÃO DE ENERGIA ELÉTRICA </v>
          </cell>
          <cell r="B22">
            <v>2.5000000000000001E-3</v>
          </cell>
          <cell r="C22">
            <v>5.1000000000000004E-3</v>
          </cell>
          <cell r="D22">
            <v>5.5999999999999999E-3</v>
          </cell>
        </row>
        <row r="23">
          <cell r="A23" t="str">
            <v xml:space="preserve">OBRAS PORTUÁRIAS, MARÍTIMAS E FLUVIAIS </v>
          </cell>
          <cell r="B23">
            <v>8.0999999999999996E-3</v>
          </cell>
          <cell r="C23">
            <v>1.2200000000000001E-2</v>
          </cell>
          <cell r="D23">
            <v>1.9900000000000001E-2</v>
          </cell>
        </row>
        <row r="25">
          <cell r="A25" t="str">
            <v>RISCO</v>
          </cell>
          <cell r="B25" t="str">
            <v>1° Quartil</v>
          </cell>
          <cell r="C25" t="str">
            <v>Médio</v>
          </cell>
          <cell r="D25" t="str">
            <v>3° Quartil</v>
          </cell>
        </row>
        <row r="26">
          <cell r="A26" t="str">
            <v>CONSTRUÇÃO DE EDIFÍCIOS</v>
          </cell>
          <cell r="B26">
            <v>9.7000000000000003E-3</v>
          </cell>
          <cell r="C26">
            <v>1.2699999999999999E-2</v>
          </cell>
          <cell r="D26">
            <v>1.2699999999999999E-2</v>
          </cell>
        </row>
        <row r="27">
          <cell r="A27" t="str">
            <v>CONSTRUÇÃO DE RODOVIAS E FERROVIAS</v>
          </cell>
          <cell r="B27">
            <v>5.0000000000000001E-3</v>
          </cell>
          <cell r="C27">
            <v>5.5999999999999999E-3</v>
          </cell>
          <cell r="D27">
            <v>9.7000000000000003E-3</v>
          </cell>
        </row>
        <row r="28">
          <cell r="A28" t="str">
            <v>CONSTRUÇÃO DE REDES DE ABASTECIMENTO DE ÁGUA, COLETA DE ESGOTO E CONSTRUÇÕES CORRELATAS</v>
          </cell>
          <cell r="B28">
            <v>0.01</v>
          </cell>
          <cell r="C28">
            <v>1.3899999999999999E-2</v>
          </cell>
          <cell r="D28">
            <v>1.7399999999999999E-2</v>
          </cell>
        </row>
        <row r="29">
          <cell r="A29" t="str">
            <v xml:space="preserve">CONSTRUÇÃO E MANUTENÇÃO DE ESTAÇÕES E REDES DE DISTRIBUIÇÃO DE ENERGIA ELÉTRICA </v>
          </cell>
          <cell r="B29">
            <v>0.01</v>
          </cell>
          <cell r="C29">
            <v>1.4800000000000001E-2</v>
          </cell>
          <cell r="D29">
            <v>1.9699999999999999E-2</v>
          </cell>
        </row>
        <row r="30">
          <cell r="A30" t="str">
            <v xml:space="preserve">OBRAS PORTUÁRIAS, MARÍTIMAS E FLUVIAIS </v>
          </cell>
          <cell r="B30">
            <v>1.46E-2</v>
          </cell>
          <cell r="C30">
            <v>2.3199999999999998E-2</v>
          </cell>
          <cell r="D30">
            <v>3.1600000000000003E-2</v>
          </cell>
        </row>
        <row r="32">
          <cell r="A32" t="str">
            <v>DESPESA FINANCEIRA</v>
          </cell>
          <cell r="B32" t="str">
            <v>1° Quartil</v>
          </cell>
          <cell r="C32" t="str">
            <v>Médio</v>
          </cell>
          <cell r="D32" t="str">
            <v>3° Quartil</v>
          </cell>
        </row>
        <row r="33">
          <cell r="A33" t="str">
            <v>CONSTRUÇÃO DE EDIFÍCIOS</v>
          </cell>
          <cell r="B33">
            <v>5.8999999999999999E-3</v>
          </cell>
          <cell r="C33">
            <v>1.23E-2</v>
          </cell>
          <cell r="D33">
            <v>1.3899999999999999E-2</v>
          </cell>
        </row>
        <row r="34">
          <cell r="A34" t="str">
            <v>CONSTRUÇÃO DE RODOVIAS E FERROVIAS</v>
          </cell>
          <cell r="B34">
            <v>1.0200000000000001E-2</v>
          </cell>
          <cell r="C34">
            <v>1.11E-2</v>
          </cell>
          <cell r="D34">
            <v>1.21E-2</v>
          </cell>
        </row>
        <row r="35">
          <cell r="A35" t="str">
            <v>CONSTRUÇÃO DE REDES DE ABASTECIMENTO DE ÁGUA, COLETA DE ESGOTO E CONSTRUÇÕES CORRELATAS</v>
          </cell>
          <cell r="B35">
            <v>9.4000000000000004E-3</v>
          </cell>
          <cell r="C35">
            <v>9.9000000000000008E-3</v>
          </cell>
          <cell r="D35">
            <v>1.17E-2</v>
          </cell>
        </row>
        <row r="36">
          <cell r="A36" t="str">
            <v xml:space="preserve">CONSTRUÇÃO E MANUTENÇÃO DE ESTAÇÕES E REDES DE DISTRIBUIÇÃO DE ENERGIA ELÉTRICA </v>
          </cell>
          <cell r="B36">
            <v>1.01E-2</v>
          </cell>
          <cell r="C36">
            <v>1.0699999999999999E-2</v>
          </cell>
          <cell r="D36">
            <v>1.11E-2</v>
          </cell>
        </row>
        <row r="37">
          <cell r="A37" t="str">
            <v xml:space="preserve">OBRAS PORTUÁRIAS, MARÍTIMAS E FLUVIAIS </v>
          </cell>
          <cell r="B37">
            <v>9.4000000000000004E-3</v>
          </cell>
          <cell r="C37">
            <v>1.0200000000000001E-2</v>
          </cell>
          <cell r="D37">
            <v>1.3299999999999999E-2</v>
          </cell>
        </row>
        <row r="39">
          <cell r="A39" t="str">
            <v>LUCRO</v>
          </cell>
          <cell r="B39" t="str">
            <v>1° Quartil</v>
          </cell>
          <cell r="C39" t="str">
            <v>Médio</v>
          </cell>
          <cell r="D39" t="str">
            <v>3° Quartil</v>
          </cell>
        </row>
        <row r="40">
          <cell r="A40" t="str">
            <v>CONSTRUÇÃO DE EDIFÍCIOS</v>
          </cell>
          <cell r="B40">
            <v>6.1600000000000002E-2</v>
          </cell>
          <cell r="C40">
            <v>7.3999999999999996E-2</v>
          </cell>
          <cell r="D40">
            <v>8.9599999999999999E-2</v>
          </cell>
        </row>
        <row r="41">
          <cell r="A41" t="str">
            <v>CONSTRUÇÃO DE RODOVIAS E FERROVIAS</v>
          </cell>
          <cell r="B41">
            <v>6.6400000000000001E-2</v>
          </cell>
          <cell r="C41">
            <v>7.2999999999999995E-2</v>
          </cell>
          <cell r="D41">
            <v>8.6900000000000005E-2</v>
          </cell>
        </row>
        <row r="42">
          <cell r="A42" t="str">
            <v>CONSTRUÇÃO DE REDES DE ABASTECIMENTO DE ÁGUA, COLETA DE ESGOTO E CONSTRUÇÕES CORRELATAS</v>
          </cell>
          <cell r="B42">
            <v>6.7400000000000002E-2</v>
          </cell>
          <cell r="C42">
            <v>8.0399999999999999E-2</v>
          </cell>
          <cell r="D42">
            <v>9.4E-2</v>
          </cell>
        </row>
        <row r="43">
          <cell r="A43" t="str">
            <v xml:space="preserve">CONSTRUÇÃO E MANUTENÇÃO DE ESTAÇÕES E REDES DE DISTRIBUIÇÃO DE ENERGIA ELÉTRICA </v>
          </cell>
          <cell r="B43">
            <v>0.08</v>
          </cell>
          <cell r="C43">
            <v>8.3099999999999993E-2</v>
          </cell>
          <cell r="D43">
            <v>9.5100000000000004E-2</v>
          </cell>
        </row>
        <row r="44">
          <cell r="A44" t="str">
            <v xml:space="preserve">OBRAS PORTUÁRIAS, MARÍTIMAS E FLUVIAIS </v>
          </cell>
          <cell r="B44">
            <v>7.1400000000000005E-2</v>
          </cell>
          <cell r="C44">
            <v>8.4000000000000005E-2</v>
          </cell>
          <cell r="D44">
            <v>0.1043</v>
          </cell>
        </row>
      </sheetData>
      <sheetData sheetId="1">
        <row r="6">
          <cell r="A6" t="str">
            <v xml:space="preserve">LOCAL: </v>
          </cell>
        </row>
        <row r="7">
          <cell r="K7" t="str">
            <v>00</v>
          </cell>
        </row>
        <row r="10">
          <cell r="A10" t="str">
            <v>1.</v>
          </cell>
          <cell r="B10">
            <v>0</v>
          </cell>
          <cell r="C10">
            <v>0</v>
          </cell>
          <cell r="D10" t="str">
            <v>SERVIÇOS PRELIMINARES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 xml:space="preserve"> </v>
          </cell>
          <cell r="J10">
            <v>14349.63</v>
          </cell>
          <cell r="K10">
            <v>8.9757828510613584E-3</v>
          </cell>
        </row>
        <row r="11">
          <cell r="A11" t="str">
            <v>1.1</v>
          </cell>
          <cell r="B11" t="str">
            <v>CPOS</v>
          </cell>
          <cell r="C11" t="str">
            <v>02.08.050</v>
          </cell>
          <cell r="D11" t="str">
            <v>PLACA DE IDENTIFICAÇÃO PARA OBRA EM LONA COM IMPRESSÃO DIGITAL E ESTRUTURA EM MADEIRA</v>
          </cell>
          <cell r="E11" t="str">
            <v>M2</v>
          </cell>
          <cell r="F11">
            <v>2.5</v>
          </cell>
          <cell r="G11">
            <v>178.78</v>
          </cell>
          <cell r="H11" t="str">
            <v>BDI 1</v>
          </cell>
          <cell r="I11">
            <v>220.14</v>
          </cell>
          <cell r="J11">
            <v>550.35</v>
          </cell>
          <cell r="K11">
            <v>0</v>
          </cell>
        </row>
        <row r="12">
          <cell r="A12" t="str">
            <v>1.2</v>
          </cell>
          <cell r="B12" t="str">
            <v>SINAPI</v>
          </cell>
          <cell r="C12">
            <v>10775</v>
          </cell>
          <cell r="D12" t="str">
            <v>LOCACAO DE CONTAINER 2,30 X 6,00 M, ALT. 2,50 M, COM 1 SANITARIO, PARA ESCRITÓRIO E DEPÓSITO, COMPLETO, SEM DIVISORIAS INTERNAS</v>
          </cell>
          <cell r="E12" t="str">
            <v>UNMÊS</v>
          </cell>
          <cell r="F12">
            <v>6</v>
          </cell>
          <cell r="G12">
            <v>823</v>
          </cell>
          <cell r="H12" t="str">
            <v>BDI 1</v>
          </cell>
          <cell r="I12">
            <v>1013.44</v>
          </cell>
          <cell r="J12">
            <v>6080.64</v>
          </cell>
          <cell r="K12">
            <v>0</v>
          </cell>
        </row>
        <row r="13">
          <cell r="A13" t="str">
            <v>1.3</v>
          </cell>
          <cell r="B13" t="str">
            <v>SUDECAP</v>
          </cell>
          <cell r="C13" t="str">
            <v>01.04.09</v>
          </cell>
          <cell r="D13" t="str">
            <v>TELA-TAPUME DE POLIPROPILENO H= 1,20 M, INCL. BASE</v>
          </cell>
          <cell r="E13" t="str">
            <v>M</v>
          </cell>
          <cell r="F13">
            <v>100</v>
          </cell>
          <cell r="G13">
            <v>9.1199999999999992</v>
          </cell>
          <cell r="H13" t="str">
            <v>BDI 1</v>
          </cell>
          <cell r="I13">
            <v>11.23</v>
          </cell>
          <cell r="J13">
            <v>1123</v>
          </cell>
          <cell r="K13">
            <v>0</v>
          </cell>
        </row>
        <row r="14">
          <cell r="A14" t="str">
            <v>1.4</v>
          </cell>
          <cell r="B14" t="str">
            <v>SINAPI</v>
          </cell>
          <cell r="C14">
            <v>97635</v>
          </cell>
          <cell r="D14" t="str">
            <v>DEMOLIÇÃO DE PAVIMENTO INTERTRAVADO, DE FORMA MANUAL, COM REAPROVEITAMENTO. AF_12/2017</v>
          </cell>
          <cell r="E14" t="str">
            <v>M2</v>
          </cell>
          <cell r="F14">
            <v>181.88</v>
          </cell>
          <cell r="G14">
            <v>18.07</v>
          </cell>
          <cell r="H14" t="str">
            <v>BDI 1</v>
          </cell>
          <cell r="I14">
            <v>22.25</v>
          </cell>
          <cell r="J14">
            <v>4046.83</v>
          </cell>
          <cell r="K14">
            <v>0</v>
          </cell>
        </row>
        <row r="15">
          <cell r="A15" t="str">
            <v>1.5</v>
          </cell>
          <cell r="B15" t="str">
            <v>CPOS</v>
          </cell>
          <cell r="C15" t="str">
            <v>03.01.240</v>
          </cell>
          <cell r="D15" t="str">
            <v>DEMOLIÇÃO MECANIZADA DE PAVIMENTO OU PISO EM CONCRETO, INCLUSIVE FRAGMENTAÇÃO, CARREGAMENTO, TRANSPORTE ATÉ 1 QUILÔMETRO E DESCARREGAMENTO</v>
          </cell>
          <cell r="E15" t="str">
            <v>M2</v>
          </cell>
          <cell r="F15">
            <v>66.099999999999994</v>
          </cell>
          <cell r="G15">
            <v>31.32</v>
          </cell>
          <cell r="H15" t="str">
            <v>BDI 1</v>
          </cell>
          <cell r="I15">
            <v>38.56</v>
          </cell>
          <cell r="J15">
            <v>2548.81</v>
          </cell>
          <cell r="K15">
            <v>0</v>
          </cell>
        </row>
        <row r="16">
          <cell r="A16" t="str">
            <v>2.</v>
          </cell>
          <cell r="B16">
            <v>0</v>
          </cell>
          <cell r="C16">
            <v>0</v>
          </cell>
          <cell r="D16" t="str">
            <v>MOVIMENTAÇÃO DE TERRA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 t="str">
            <v xml:space="preserve"> </v>
          </cell>
          <cell r="J16">
            <v>97369.37999999999</v>
          </cell>
          <cell r="K16">
            <v>6.0905153040355521E-2</v>
          </cell>
        </row>
        <row r="17">
          <cell r="A17">
            <v>0</v>
          </cell>
          <cell r="B17">
            <v>0</v>
          </cell>
          <cell r="C17">
            <v>0</v>
          </cell>
          <cell r="D17" t="str">
            <v>RAMPA DE SERVIÇO E PATAMAR DE OPERAÇÕES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>2.1</v>
          </cell>
          <cell r="B18" t="str">
            <v>SINAPI</v>
          </cell>
          <cell r="C18">
            <v>101144</v>
          </cell>
          <cell r="D18" t="str">
            <v>ESCAVAÇÃO HORIZONTAL, INCLUINDO CARGA, DESCARGA E TRANSPORTE EM SOLO DE 1A CATEGORIA COM TRATOR DE ESTEIRAS (100HP/LÂMINA: 2,19M3) E CAMINHÃO BASCULANTE DE 14M3, DMT ATÉ 200M. AF_07/2020</v>
          </cell>
          <cell r="E18" t="str">
            <v>M3</v>
          </cell>
          <cell r="F18">
            <v>833.1</v>
          </cell>
          <cell r="G18">
            <v>15.05</v>
          </cell>
          <cell r="H18" t="str">
            <v>BDI 1</v>
          </cell>
          <cell r="I18">
            <v>18.53</v>
          </cell>
          <cell r="J18">
            <v>15437.34</v>
          </cell>
          <cell r="K18">
            <v>0</v>
          </cell>
        </row>
        <row r="19">
          <cell r="A19" t="str">
            <v>2.2</v>
          </cell>
          <cell r="B19" t="str">
            <v>SINAPI</v>
          </cell>
          <cell r="C19">
            <v>100939</v>
          </cell>
          <cell r="D19" t="str">
            <v>TRANSPORTE COM CAMINHÃO BASCULANTE DE 14 M³, EM VIA INTERNA (DENTRO DO CANTEIRO - UNIDADE:M3XKM). AF_07/2020</v>
          </cell>
          <cell r="E19" t="str">
            <v>M3xKM</v>
          </cell>
          <cell r="F19">
            <v>866.42</v>
          </cell>
          <cell r="G19">
            <v>6.18</v>
          </cell>
          <cell r="H19" t="str">
            <v>BDI 1</v>
          </cell>
          <cell r="I19">
            <v>7.61</v>
          </cell>
          <cell r="J19">
            <v>6593.45</v>
          </cell>
          <cell r="K19">
            <v>0</v>
          </cell>
        </row>
        <row r="20">
          <cell r="A20" t="str">
            <v>2.3</v>
          </cell>
          <cell r="B20" t="str">
            <v>CPOS</v>
          </cell>
          <cell r="C20" t="str">
            <v>08.01.040</v>
          </cell>
          <cell r="D20" t="str">
            <v>ESCORAMENTO DE SOLO DESCONTÍNUO</v>
          </cell>
          <cell r="E20" t="str">
            <v>M2</v>
          </cell>
          <cell r="F20">
            <v>131.69999999999999</v>
          </cell>
          <cell r="G20">
            <v>54.57</v>
          </cell>
          <cell r="H20" t="str">
            <v>BDI 1</v>
          </cell>
          <cell r="I20">
            <v>67.19</v>
          </cell>
          <cell r="J20">
            <v>8848.92</v>
          </cell>
          <cell r="K20">
            <v>0</v>
          </cell>
        </row>
        <row r="21">
          <cell r="A21" t="str">
            <v>2.4</v>
          </cell>
          <cell r="B21" t="str">
            <v>SINAPI</v>
          </cell>
          <cell r="C21">
            <v>96385</v>
          </cell>
          <cell r="D21" t="str">
            <v>EXECUÇÃO E COMPACTAÇÃO DE ATERRO COM SOLO PREDOMINANTEMENTE ARGILOSO - EXCLUSIVE SOLO, ESCAVAÇÃO, CARGA E TRANSPORTE. AF_11/2019</v>
          </cell>
          <cell r="E21" t="str">
            <v>M3</v>
          </cell>
          <cell r="F21">
            <v>833.1</v>
          </cell>
          <cell r="G21">
            <v>11.99</v>
          </cell>
          <cell r="H21" t="str">
            <v>BDI 1</v>
          </cell>
          <cell r="I21">
            <v>14.76</v>
          </cell>
          <cell r="J21">
            <v>12296.55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 t="str">
            <v>CAIXA DIVISORA DE VAZÃO 02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2.5</v>
          </cell>
          <cell r="B23" t="str">
            <v>CPOS</v>
          </cell>
          <cell r="C23" t="str">
            <v>08.01.100</v>
          </cell>
          <cell r="D23" t="str">
            <v>ESCORAMENTO COM ESTACAS PRANCHAS METÁLICAS - PROFUNDIDADE ATÉ 4 M</v>
          </cell>
          <cell r="E23" t="str">
            <v>M2</v>
          </cell>
          <cell r="F23">
            <v>97.35</v>
          </cell>
          <cell r="G23">
            <v>301.52</v>
          </cell>
          <cell r="H23" t="str">
            <v>BDI 1</v>
          </cell>
          <cell r="I23">
            <v>371.29</v>
          </cell>
          <cell r="J23">
            <v>36145.08</v>
          </cell>
          <cell r="K23">
            <v>0</v>
          </cell>
        </row>
        <row r="24">
          <cell r="A24" t="str">
            <v>2.6</v>
          </cell>
          <cell r="B24" t="str">
            <v>CPOS</v>
          </cell>
          <cell r="C24" t="str">
            <v>08.01.040</v>
          </cell>
          <cell r="D24" t="str">
            <v>ESCORAMENTO DE SOLO DESCONTÍNUO</v>
          </cell>
          <cell r="E24" t="str">
            <v>M2</v>
          </cell>
          <cell r="F24">
            <v>26.75</v>
          </cell>
          <cell r="G24">
            <v>54.57</v>
          </cell>
          <cell r="H24" t="str">
            <v>BDI 1</v>
          </cell>
          <cell r="I24">
            <v>67.19</v>
          </cell>
          <cell r="J24">
            <v>1797.33</v>
          </cell>
          <cell r="K24">
            <v>0</v>
          </cell>
        </row>
        <row r="25">
          <cell r="A25" t="str">
            <v>2.7</v>
          </cell>
          <cell r="B25" t="str">
            <v>SINAPI</v>
          </cell>
          <cell r="C25">
            <v>101230</v>
          </cell>
          <cell r="D25" t="str">
            <v>ESCAVAÇÃO VERTICAL PARA INFRAESTRUTURA, COM CARGA, DESCARGA E TRANSPORTE DE SOLO DE 1ª CATEGORIA, COM ESCAVADEIRA HIDRÁULICA (CAÇAMBA: 0,8 M³ / 111 HP), FROTA DE 3 CAMINHÕES BASCULANTES DE 14 M³, DMT ATÉ 1 KM E VELOCIDADE MÉDIA14 KM/H. AF_05/2020</v>
          </cell>
          <cell r="E25" t="str">
            <v>M3</v>
          </cell>
          <cell r="F25">
            <v>326.02999999999997</v>
          </cell>
          <cell r="G25">
            <v>10.61</v>
          </cell>
          <cell r="H25" t="str">
            <v>BDI 1</v>
          </cell>
          <cell r="I25">
            <v>13.06</v>
          </cell>
          <cell r="J25">
            <v>4257.95</v>
          </cell>
          <cell r="K25">
            <v>0</v>
          </cell>
        </row>
        <row r="26">
          <cell r="A26" t="str">
            <v>2.8</v>
          </cell>
          <cell r="B26" t="str">
            <v>SINAPI</v>
          </cell>
          <cell r="C26">
            <v>97084</v>
          </cell>
          <cell r="D26" t="str">
            <v>COMPACTAÇÃO MECÂNICA DE SOLO PARA EXECUÇÃO DE RADIER, PISO DE CONCRETO OU LAJE SOBRE SOLO, COM COMPACTADOR DE SOLOS TIPO PLACA VIBRATÓRIA. AF_09/2021 (06 CAMADAS DE 15CM)</v>
          </cell>
          <cell r="E26" t="str">
            <v>M2</v>
          </cell>
          <cell r="F26">
            <v>342.42</v>
          </cell>
          <cell r="G26">
            <v>0.8</v>
          </cell>
          <cell r="H26" t="str">
            <v>BDI 1</v>
          </cell>
          <cell r="I26">
            <v>0.98</v>
          </cell>
          <cell r="J26">
            <v>335.57</v>
          </cell>
          <cell r="K26">
            <v>0</v>
          </cell>
        </row>
        <row r="27">
          <cell r="A27" t="str">
            <v>2.9</v>
          </cell>
          <cell r="B27" t="str">
            <v>SINAPI</v>
          </cell>
          <cell r="C27">
            <v>93361</v>
          </cell>
          <cell r="D27" t="str">
            <v>REATERRO MECANIZADO DE VALA COM ESCAVADEIRA HIDRÁULICA (CAPACIDADE DA CAÇAMBA: 0,8 M³ / POTÊNCIA: 111 HP), LARGURA ATÉ 1,5 M, PROFUNDIDADE DE 1,5 A 3,0 M, COM SOLO DE 1ª CATEGORIA EM LOCAIS COM ALTO NÍVEL DE INTERFERÊNCIA. AF_04/2016</v>
          </cell>
          <cell r="E27" t="str">
            <v>M3</v>
          </cell>
          <cell r="F27">
            <v>113.52</v>
          </cell>
          <cell r="G27">
            <v>19.3</v>
          </cell>
          <cell r="H27" t="str">
            <v>BDI 1</v>
          </cell>
          <cell r="I27">
            <v>23.76</v>
          </cell>
          <cell r="J27">
            <v>2697.23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 t="str">
            <v>JUSANTE CDV-02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2.10</v>
          </cell>
          <cell r="B29" t="str">
            <v>SINAPI</v>
          </cell>
          <cell r="C29">
            <v>101125</v>
          </cell>
          <cell r="D29" t="str">
            <v>ESCAVAÇÃO MECANIZADA, INCLUINDO CARGA E DESCARGA EM SOLO DE 1A CATEGORIA COM TRATOR DE ESTEIRAS (150HP/LÂMINA: 3,18M3). AF_07/2020</v>
          </cell>
          <cell r="E29" t="str">
            <v>M3</v>
          </cell>
          <cell r="F29">
            <v>238.67</v>
          </cell>
          <cell r="G29">
            <v>13.77</v>
          </cell>
          <cell r="H29" t="str">
            <v>BDI 1</v>
          </cell>
          <cell r="I29">
            <v>16.95</v>
          </cell>
          <cell r="J29">
            <v>4045.45</v>
          </cell>
          <cell r="K29">
            <v>0</v>
          </cell>
        </row>
        <row r="30">
          <cell r="A30" t="str">
            <v>2.11</v>
          </cell>
          <cell r="B30" t="str">
            <v>SINAPI</v>
          </cell>
          <cell r="C30">
            <v>93361</v>
          </cell>
          <cell r="D30" t="str">
            <v>REATERRO MECANIZADO DE VALA COM ESCAVADEIRA HIDRÁULICA (CAPACIDADE DA CAÇAMBA: 0,8 M³ / POTÊNCIA: 111 HP), LARGURA ATÉ 1,5 M, PROFUNDIDADE DE 1,5 A 3,0 M, COM SOLO DE 1ª CATEGORIA EM LOCAIS COM ALTO NÍVEL DE INTERFERÊNCIA. AF_04/2016</v>
          </cell>
          <cell r="E30" t="str">
            <v>M3</v>
          </cell>
          <cell r="F30">
            <v>206.84</v>
          </cell>
          <cell r="G30">
            <v>19.3</v>
          </cell>
          <cell r="H30" t="str">
            <v>BDI 1</v>
          </cell>
          <cell r="I30">
            <v>23.76</v>
          </cell>
          <cell r="J30">
            <v>4914.51</v>
          </cell>
          <cell r="K30">
            <v>0</v>
          </cell>
        </row>
        <row r="31">
          <cell r="A31" t="str">
            <v>3.</v>
          </cell>
          <cell r="B31">
            <v>0</v>
          </cell>
          <cell r="C31">
            <v>0</v>
          </cell>
          <cell r="D31" t="str">
            <v>ESTRUTURA EM CONCRETO ARMADO 
(CDV-02)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337089.41</v>
          </cell>
          <cell r="K31">
            <v>0.21085152338787769</v>
          </cell>
        </row>
        <row r="32">
          <cell r="A32" t="str">
            <v>3.1</v>
          </cell>
          <cell r="B32" t="str">
            <v>CPOS</v>
          </cell>
          <cell r="C32" t="str">
            <v>02.10.020</v>
          </cell>
          <cell r="D32" t="str">
            <v>LOCAÇÃO DE OBRA</v>
          </cell>
          <cell r="E32" t="str">
            <v>M2</v>
          </cell>
          <cell r="F32">
            <v>46.08</v>
          </cell>
          <cell r="G32">
            <v>17.010000000000002</v>
          </cell>
          <cell r="H32" t="str">
            <v>BDI 1</v>
          </cell>
          <cell r="I32">
            <v>20.94</v>
          </cell>
          <cell r="J32">
            <v>964.91</v>
          </cell>
          <cell r="K32">
            <v>0</v>
          </cell>
        </row>
        <row r="33">
          <cell r="A33" t="str">
            <v>3.2</v>
          </cell>
          <cell r="B33" t="str">
            <v>SINAPI</v>
          </cell>
          <cell r="C33">
            <v>96622</v>
          </cell>
          <cell r="D33" t="str">
            <v>LASTRO COM MATERIAL GRANULAR, APLICADO EM PISOS OU LAJES SOBRE SOLO, ESPESSURA DE *5 CM*. AF_08/2017</v>
          </cell>
          <cell r="E33" t="str">
            <v>M3</v>
          </cell>
          <cell r="F33">
            <v>2.68</v>
          </cell>
          <cell r="G33">
            <v>126.91</v>
          </cell>
          <cell r="H33" t="str">
            <v>BDI 1</v>
          </cell>
          <cell r="I33">
            <v>156.27000000000001</v>
          </cell>
          <cell r="J33">
            <v>418.8</v>
          </cell>
          <cell r="K33">
            <v>0</v>
          </cell>
        </row>
        <row r="34">
          <cell r="A34" t="str">
            <v>3.3</v>
          </cell>
          <cell r="B34" t="str">
            <v>SINAPI</v>
          </cell>
          <cell r="C34">
            <v>97087</v>
          </cell>
          <cell r="D34" t="str">
            <v>CAMADA SEPARADORA PARA EXECUÇÃO DE RADIER, PISO DE CONCRETO OU LAJE SOBRE SOLO, EM LONA PLÁSTICA EXTRA FORTE PRETA, E = 200 MICRA. AF_09/2021</v>
          </cell>
          <cell r="E34" t="str">
            <v>M2</v>
          </cell>
          <cell r="F34">
            <v>57</v>
          </cell>
          <cell r="G34">
            <v>1.98</v>
          </cell>
          <cell r="H34" t="str">
            <v>BDI 1</v>
          </cell>
          <cell r="I34">
            <v>2.4300000000000002</v>
          </cell>
          <cell r="J34">
            <v>138.51</v>
          </cell>
          <cell r="K34">
            <v>0</v>
          </cell>
        </row>
        <row r="35">
          <cell r="A35" t="str">
            <v>3.4</v>
          </cell>
          <cell r="B35" t="str">
            <v>SINAPI</v>
          </cell>
          <cell r="C35">
            <v>95241</v>
          </cell>
          <cell r="D35" t="str">
            <v>LASTRO DE CONCRETO MAGRO, APLICADO EM PISOS, LAJES SOBRE SOLO OU RADIERS, ESPESSURA DE 5 CM. AF_07/2016</v>
          </cell>
          <cell r="E35" t="str">
            <v>M2</v>
          </cell>
          <cell r="F35">
            <v>57</v>
          </cell>
          <cell r="G35">
            <v>27.87</v>
          </cell>
          <cell r="H35" t="str">
            <v>BDI 1</v>
          </cell>
          <cell r="I35">
            <v>34.31</v>
          </cell>
          <cell r="J35">
            <v>1955.67</v>
          </cell>
          <cell r="K35">
            <v>0</v>
          </cell>
        </row>
        <row r="36">
          <cell r="A36" t="str">
            <v>3.5</v>
          </cell>
          <cell r="B36" t="str">
            <v>CPOS</v>
          </cell>
          <cell r="C36" t="str">
            <v>09.02.140</v>
          </cell>
          <cell r="D36" t="str">
            <v>FORMA PLANA EM COMPENSADO PARA ESTRUTURA APARENTE COM CIMBRAMENTO TUBULAR METÁLICO</v>
          </cell>
          <cell r="E36" t="str">
            <v>M2</v>
          </cell>
          <cell r="F36">
            <v>498.8</v>
          </cell>
          <cell r="G36">
            <v>169.92</v>
          </cell>
          <cell r="H36" t="str">
            <v>BDI 1</v>
          </cell>
          <cell r="I36">
            <v>209.23</v>
          </cell>
          <cell r="J36">
            <v>104363.92</v>
          </cell>
          <cell r="K36">
            <v>0</v>
          </cell>
        </row>
        <row r="37">
          <cell r="A37" t="str">
            <v>3.6</v>
          </cell>
          <cell r="B37" t="str">
            <v>SINAPI</v>
          </cell>
          <cell r="C37">
            <v>92267</v>
          </cell>
          <cell r="D37" t="str">
            <v>FABRICAÇÃO DE FÔRMA PARA LAJES, EM CHAPA DE MADEIRA COMPENSADA RESINADA, E = 17 MM. AF_09/2020</v>
          </cell>
          <cell r="E37" t="str">
            <v>M2</v>
          </cell>
          <cell r="F37">
            <v>32.75</v>
          </cell>
          <cell r="G37">
            <v>48.25</v>
          </cell>
          <cell r="H37" t="str">
            <v>BDI 1</v>
          </cell>
          <cell r="I37">
            <v>59.41</v>
          </cell>
          <cell r="J37">
            <v>1945.67</v>
          </cell>
          <cell r="K37">
            <v>0</v>
          </cell>
        </row>
        <row r="38">
          <cell r="A38" t="str">
            <v>3.7</v>
          </cell>
          <cell r="B38" t="str">
            <v>SINAPI</v>
          </cell>
          <cell r="C38">
            <v>101793</v>
          </cell>
          <cell r="D38" t="str">
            <v>ESCORAMENTO DE FÔRMAS DE LAJE EM MADEIRA NÃO APARELHADA, PÉ-DIREITO DUPLO, INCLUSO TRAVAMENTO, 4 UTILIZAÇÕES. AF_09/2020</v>
          </cell>
          <cell r="E38" t="str">
            <v>M3</v>
          </cell>
          <cell r="F38">
            <v>161.37</v>
          </cell>
          <cell r="G38">
            <v>26.06</v>
          </cell>
          <cell r="H38" t="str">
            <v>BDI 1</v>
          </cell>
          <cell r="I38">
            <v>32.090000000000003</v>
          </cell>
          <cell r="J38">
            <v>5178.3599999999997</v>
          </cell>
          <cell r="K38">
            <v>0</v>
          </cell>
        </row>
        <row r="39">
          <cell r="A39" t="str">
            <v>3.8</v>
          </cell>
          <cell r="B39" t="str">
            <v>SINAPI</v>
          </cell>
          <cell r="C39">
            <v>92801</v>
          </cell>
          <cell r="D39" t="str">
            <v>ESPAÇADORES TIPO CARANGUEJO - CORTE E DOBRA DE AÇO CA-50, DIÂMETRO DE 6,3 MM. AF_06/2022</v>
          </cell>
          <cell r="E39" t="str">
            <v>KG</v>
          </cell>
          <cell r="F39">
            <v>16.86</v>
          </cell>
          <cell r="G39">
            <v>10.4</v>
          </cell>
          <cell r="H39" t="str">
            <v>BDI 1</v>
          </cell>
          <cell r="I39">
            <v>12.8</v>
          </cell>
          <cell r="J39">
            <v>215.8</v>
          </cell>
          <cell r="K39">
            <v>0</v>
          </cell>
        </row>
        <row r="40">
          <cell r="A40" t="str">
            <v>3.9</v>
          </cell>
          <cell r="B40" t="str">
            <v>SINAPI</v>
          </cell>
          <cell r="C40">
            <v>92800</v>
          </cell>
          <cell r="D40" t="str">
            <v>CORTE E DOBRA DE AÇO CA-60, DIÂMETRO DE 5,0 MM. AF_06/2022</v>
          </cell>
          <cell r="E40" t="str">
            <v>KG</v>
          </cell>
          <cell r="F40">
            <v>3</v>
          </cell>
          <cell r="G40">
            <v>10.37</v>
          </cell>
          <cell r="H40" t="str">
            <v>BDI 1</v>
          </cell>
          <cell r="I40">
            <v>12.76</v>
          </cell>
          <cell r="J40">
            <v>38.28</v>
          </cell>
          <cell r="K40">
            <v>0</v>
          </cell>
        </row>
        <row r="41">
          <cell r="A41" t="str">
            <v>3.10</v>
          </cell>
          <cell r="B41" t="str">
            <v>SINAPI</v>
          </cell>
          <cell r="C41">
            <v>92801</v>
          </cell>
          <cell r="D41" t="str">
            <v>CORTE E DOBRA DE AÇO CA-50, DIÂMETRO DE 6,3 MM. AF_06/2022</v>
          </cell>
          <cell r="E41" t="str">
            <v>KG</v>
          </cell>
          <cell r="F41">
            <v>97.6</v>
          </cell>
          <cell r="G41">
            <v>10.4</v>
          </cell>
          <cell r="H41" t="str">
            <v>BDI 1</v>
          </cell>
          <cell r="I41">
            <v>12.8</v>
          </cell>
          <cell r="J41">
            <v>1249.28</v>
          </cell>
          <cell r="K41">
            <v>0</v>
          </cell>
        </row>
        <row r="42">
          <cell r="A42" t="str">
            <v>3.11</v>
          </cell>
          <cell r="B42" t="str">
            <v>SINAPI</v>
          </cell>
          <cell r="C42">
            <v>92802</v>
          </cell>
          <cell r="D42" t="str">
            <v>CORTE E DOBRA DE AÇO CA-50, DIÂMETRO DE 8,0 MM. AF_06/2022</v>
          </cell>
          <cell r="E42" t="str">
            <v>KG</v>
          </cell>
          <cell r="F42">
            <v>1904.6</v>
          </cell>
          <cell r="G42">
            <v>10.29</v>
          </cell>
          <cell r="H42" t="str">
            <v>BDI 1</v>
          </cell>
          <cell r="I42">
            <v>12.67</v>
          </cell>
          <cell r="J42">
            <v>24131.279999999999</v>
          </cell>
          <cell r="K42">
            <v>0</v>
          </cell>
        </row>
        <row r="43">
          <cell r="A43" t="str">
            <v>3.12</v>
          </cell>
          <cell r="B43" t="str">
            <v>SINAPI</v>
          </cell>
          <cell r="C43">
            <v>92803</v>
          </cell>
          <cell r="D43" t="str">
            <v>CORTE E DOBRA DE AÇO CA-50, DIÂMETRO DE 10,0 MM. AF_06/2022</v>
          </cell>
          <cell r="E43" t="str">
            <v>KG</v>
          </cell>
          <cell r="F43">
            <v>2919.5</v>
          </cell>
          <cell r="G43">
            <v>9.48</v>
          </cell>
          <cell r="H43" t="str">
            <v>BDI 1</v>
          </cell>
          <cell r="I43">
            <v>11.67</v>
          </cell>
          <cell r="J43">
            <v>34070.559999999998</v>
          </cell>
          <cell r="K43">
            <v>0</v>
          </cell>
        </row>
        <row r="44">
          <cell r="A44" t="str">
            <v>3.13</v>
          </cell>
          <cell r="B44" t="str">
            <v>SINAPI</v>
          </cell>
          <cell r="C44">
            <v>92804</v>
          </cell>
          <cell r="D44" t="str">
            <v>CORTE E DOBRA DE AÇO CA-50, DIÂMETRO DE 12,5 MM. AF_06/2022</v>
          </cell>
          <cell r="E44" t="str">
            <v>KG</v>
          </cell>
          <cell r="F44">
            <v>2570.3000000000002</v>
          </cell>
          <cell r="G44">
            <v>8.11</v>
          </cell>
          <cell r="H44" t="str">
            <v>BDI 1</v>
          </cell>
          <cell r="I44">
            <v>9.98</v>
          </cell>
          <cell r="J44">
            <v>25651.59</v>
          </cell>
          <cell r="K44">
            <v>0</v>
          </cell>
        </row>
        <row r="45">
          <cell r="A45" t="str">
            <v>3.14</v>
          </cell>
          <cell r="B45" t="str">
            <v>SINAPI</v>
          </cell>
          <cell r="C45">
            <v>92805</v>
          </cell>
          <cell r="D45" t="str">
            <v>CORTE E DOBRA DE AÇO CA-50, DIÂMETRO DE 16,0 MM. AF_06/2022</v>
          </cell>
          <cell r="E45" t="str">
            <v>KG</v>
          </cell>
          <cell r="F45">
            <v>2318.5</v>
          </cell>
          <cell r="G45">
            <v>8.02</v>
          </cell>
          <cell r="H45" t="str">
            <v>BDI 1</v>
          </cell>
          <cell r="I45">
            <v>9.8699999999999992</v>
          </cell>
          <cell r="J45">
            <v>22883.59</v>
          </cell>
          <cell r="K45">
            <v>0</v>
          </cell>
        </row>
        <row r="46">
          <cell r="A46" t="str">
            <v>3.15</v>
          </cell>
          <cell r="B46" t="str">
            <v>SABESP</v>
          </cell>
          <cell r="C46">
            <v>70070301</v>
          </cell>
          <cell r="D46" t="str">
            <v>CONCRETO ESTRUTURAL P/ ESTRUTURAS EM CONTATO COM ESGOTO, GASES AGRESSIVOS, AMBIENTE MARÍTIMO E ESTRUTURAS PARA TRATAMENTO DE ÁGUA, FCK = 40,0 MPA, A/C MÁX. 0,45 L/KG - MÍN. DE 360 KG DE CIMENTO/M³</v>
          </cell>
          <cell r="E46" t="str">
            <v>M3</v>
          </cell>
          <cell r="F46">
            <v>84.4</v>
          </cell>
          <cell r="G46">
            <v>638.9609375</v>
          </cell>
          <cell r="H46" t="str">
            <v>BDI 2</v>
          </cell>
          <cell r="I46">
            <v>817.87</v>
          </cell>
          <cell r="J46">
            <v>69028.22</v>
          </cell>
          <cell r="K46">
            <v>0</v>
          </cell>
        </row>
        <row r="47">
          <cell r="A47" t="str">
            <v>3.16</v>
          </cell>
          <cell r="B47" t="str">
            <v>CPOS</v>
          </cell>
          <cell r="C47" t="str">
            <v>11.16.080</v>
          </cell>
          <cell r="D47" t="str">
            <v>LANÇAMENTO E ADENSAMENTO DE CONCRETO OU MASSA POR BOMBEAMENTO</v>
          </cell>
          <cell r="E47" t="str">
            <v>M3</v>
          </cell>
          <cell r="F47">
            <v>84.4</v>
          </cell>
          <cell r="G47">
            <v>112.56</v>
          </cell>
          <cell r="H47" t="str">
            <v>BDI 1</v>
          </cell>
          <cell r="I47">
            <v>138.6</v>
          </cell>
          <cell r="J47">
            <v>11697.84</v>
          </cell>
          <cell r="K47">
            <v>0</v>
          </cell>
        </row>
        <row r="48">
          <cell r="A48" t="str">
            <v>3.17</v>
          </cell>
          <cell r="B48" t="str">
            <v>COTAÇÃO</v>
          </cell>
          <cell r="C48" t="str">
            <v>001</v>
          </cell>
          <cell r="D48" t="str">
            <v>ADITIVO PARA PROTEÇÃO E IMPERMEABILIZAÇÃO PARA CONCRETO (REF.: XYPEX)</v>
          </cell>
          <cell r="E48" t="str">
            <v>KG</v>
          </cell>
          <cell r="F48">
            <v>422</v>
          </cell>
          <cell r="G48">
            <v>40.736666666666672</v>
          </cell>
          <cell r="H48" t="str">
            <v>BDI 1</v>
          </cell>
          <cell r="I48">
            <v>50.16</v>
          </cell>
          <cell r="J48">
            <v>21167.52</v>
          </cell>
          <cell r="K48">
            <v>0</v>
          </cell>
        </row>
        <row r="49">
          <cell r="A49" t="str">
            <v>3.18</v>
          </cell>
          <cell r="B49" t="str">
            <v>COTAÇÃO</v>
          </cell>
          <cell r="C49" t="str">
            <v>002</v>
          </cell>
          <cell r="D49" t="str">
            <v>JUNTA HIDROEXPANSÍVAEL - WATER STOP</v>
          </cell>
          <cell r="E49" t="str">
            <v>M</v>
          </cell>
          <cell r="F49">
            <v>84.3</v>
          </cell>
          <cell r="G49">
            <v>107.95666666666666</v>
          </cell>
          <cell r="H49" t="str">
            <v>BDI 1</v>
          </cell>
          <cell r="I49">
            <v>132.93</v>
          </cell>
          <cell r="J49">
            <v>11205.99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 t="str">
            <v>FECHAMENTO EM ALVENARIA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3.19</v>
          </cell>
          <cell r="B51" t="str">
            <v>CPOS</v>
          </cell>
          <cell r="C51" t="str">
            <v>14.11.271</v>
          </cell>
          <cell r="D51" t="str">
            <v>ALVENARIA DE BLOCO DE CONCRETO ESTRUTURAL 19 X 19 X 39 CM - CLASSE A</v>
          </cell>
          <cell r="E51" t="str">
            <v>M2</v>
          </cell>
          <cell r="F51">
            <v>2.7</v>
          </cell>
          <cell r="G51">
            <v>137.19</v>
          </cell>
          <cell r="H51" t="str">
            <v>BDI 1</v>
          </cell>
          <cell r="I51">
            <v>168.93</v>
          </cell>
          <cell r="J51">
            <v>456.11</v>
          </cell>
          <cell r="K51">
            <v>0</v>
          </cell>
        </row>
        <row r="52">
          <cell r="A52" t="str">
            <v>3.20</v>
          </cell>
          <cell r="B52" t="str">
            <v>CPOS</v>
          </cell>
          <cell r="C52" t="str">
            <v>14.40.100</v>
          </cell>
          <cell r="D52" t="str">
            <v>TELA GALVANIZADA PARA FIXAÇÃO DE ALVENARIA COM DIMENSÃO DE 17X50CM</v>
          </cell>
          <cell r="E52" t="str">
            <v xml:space="preserve">UN </v>
          </cell>
          <cell r="F52">
            <v>10</v>
          </cell>
          <cell r="G52">
            <v>11.19</v>
          </cell>
          <cell r="H52" t="str">
            <v>BDI 1</v>
          </cell>
          <cell r="I52">
            <v>13.77</v>
          </cell>
          <cell r="J52">
            <v>137.69999999999999</v>
          </cell>
          <cell r="K52">
            <v>0</v>
          </cell>
        </row>
        <row r="53">
          <cell r="A53" t="str">
            <v>3.21</v>
          </cell>
          <cell r="B53" t="str">
            <v>CPOS</v>
          </cell>
          <cell r="C53" t="str">
            <v>17.02.040</v>
          </cell>
          <cell r="D53" t="str">
            <v>CHAPISCO COM ADESIVO DE ALTO DESEMPENHO</v>
          </cell>
          <cell r="E53" t="str">
            <v>M2</v>
          </cell>
          <cell r="F53">
            <v>5.68</v>
          </cell>
          <cell r="G53">
            <v>11.63</v>
          </cell>
          <cell r="H53" t="str">
            <v>BDI 1</v>
          </cell>
          <cell r="I53">
            <v>14.32</v>
          </cell>
          <cell r="J53">
            <v>81.33</v>
          </cell>
          <cell r="K53">
            <v>0</v>
          </cell>
        </row>
        <row r="54">
          <cell r="A54" t="str">
            <v>3.22</v>
          </cell>
          <cell r="B54" t="str">
            <v>CPOS</v>
          </cell>
          <cell r="C54" t="str">
            <v>32.17.040</v>
          </cell>
          <cell r="D54" t="str">
            <v>IMPERMEABILIZAÇÃO EM ARGAMASSA POLIMÉRICA COM REFORÇO EM TELA POLIÉSTER PARA PRESSÃO HIDROSTÁTICA POSITIVA</v>
          </cell>
          <cell r="E54" t="str">
            <v>M2</v>
          </cell>
          <cell r="F54">
            <v>2.7</v>
          </cell>
          <cell r="G54">
            <v>32.630000000000003</v>
          </cell>
          <cell r="H54" t="str">
            <v>BDI 1</v>
          </cell>
          <cell r="I54">
            <v>40.18</v>
          </cell>
          <cell r="J54">
            <v>108.48</v>
          </cell>
          <cell r="K54">
            <v>0</v>
          </cell>
        </row>
        <row r="55">
          <cell r="A55" t="str">
            <v>4.</v>
          </cell>
          <cell r="B55">
            <v>0</v>
          </cell>
          <cell r="C55">
            <v>0</v>
          </cell>
          <cell r="D55" t="str">
            <v>ACESSÓRIOS, COMPONENTES E ELEMENTOS METÁLICOS (CDV-02)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598272.29999999993</v>
          </cell>
          <cell r="K55">
            <v>0.37422304621129859</v>
          </cell>
        </row>
        <row r="56">
          <cell r="A56" t="str">
            <v>4.1</v>
          </cell>
          <cell r="B56" t="str">
            <v>COTAÇÃO</v>
          </cell>
          <cell r="C56" t="str">
            <v>003</v>
          </cell>
          <cell r="D56" t="str">
            <v>TUBO, COM PONTA BISELADA P/ SOLDA E PONTA, COM ABA DE VEDAÇÃO, ESP. 3/8", ∅1200mm, L=1000mm</v>
          </cell>
          <cell r="E56" t="str">
            <v xml:space="preserve">UN </v>
          </cell>
          <cell r="F56">
            <v>1</v>
          </cell>
          <cell r="G56">
            <v>13250</v>
          </cell>
          <cell r="H56" t="str">
            <v>BDI 1</v>
          </cell>
          <cell r="I56">
            <v>16316.05</v>
          </cell>
          <cell r="J56">
            <v>16316.05</v>
          </cell>
          <cell r="K56">
            <v>0</v>
          </cell>
        </row>
        <row r="57">
          <cell r="A57" t="str">
            <v>4.2</v>
          </cell>
          <cell r="B57" t="str">
            <v>COTAÇÃO</v>
          </cell>
          <cell r="C57" t="str">
            <v>004</v>
          </cell>
          <cell r="D57" t="str">
            <v>TUBO, COM PONTA BISELADA P/ SOLDA E PONTA, COM ABA DE VEDAÇÃO, ESP. 1/4", ∅900mm, L=1000mm</v>
          </cell>
          <cell r="E57" t="str">
            <v xml:space="preserve">UN </v>
          </cell>
          <cell r="F57">
            <v>2</v>
          </cell>
          <cell r="G57">
            <v>6250</v>
          </cell>
          <cell r="H57" t="str">
            <v>BDI 1</v>
          </cell>
          <cell r="I57">
            <v>7696.25</v>
          </cell>
          <cell r="J57">
            <v>15392.5</v>
          </cell>
          <cell r="K57">
            <v>0</v>
          </cell>
        </row>
        <row r="58">
          <cell r="A58" t="str">
            <v>4.3</v>
          </cell>
          <cell r="B58" t="str">
            <v>COTAÇÃO</v>
          </cell>
          <cell r="C58" t="str">
            <v>005</v>
          </cell>
          <cell r="D58" t="str">
            <v>TUBO, COM PONTA E FLANGE, COM ABA DE VEDAÇÃO, ESP. 3/8", ∅1200mm, L=1000mm</v>
          </cell>
          <cell r="E58" t="str">
            <v xml:space="preserve">UN </v>
          </cell>
          <cell r="F58">
            <v>1</v>
          </cell>
          <cell r="G58">
            <v>14575.000000000002</v>
          </cell>
          <cell r="H58" t="str">
            <v>BDI 1</v>
          </cell>
          <cell r="I58">
            <v>17947.650000000001</v>
          </cell>
          <cell r="J58">
            <v>17947.650000000001</v>
          </cell>
          <cell r="K58">
            <v>0</v>
          </cell>
        </row>
        <row r="59">
          <cell r="A59" t="str">
            <v>4.4</v>
          </cell>
          <cell r="B59" t="str">
            <v>COTAÇÃO</v>
          </cell>
          <cell r="C59" t="str">
            <v>006</v>
          </cell>
          <cell r="D59" t="str">
            <v>TUBO, COM PONTA E FLANGE, COM ABA DE VEDAÇÃO, ESP. 5/16", ∅1000mm, L=500mm</v>
          </cell>
          <cell r="E59" t="str">
            <v xml:space="preserve">UN </v>
          </cell>
          <cell r="F59">
            <v>2</v>
          </cell>
          <cell r="G59">
            <v>12925.000000000002</v>
          </cell>
          <cell r="H59" t="str">
            <v>BDI 1</v>
          </cell>
          <cell r="I59">
            <v>15915.84</v>
          </cell>
          <cell r="J59">
            <v>31831.68</v>
          </cell>
          <cell r="K59">
            <v>0</v>
          </cell>
        </row>
        <row r="60">
          <cell r="A60" t="str">
            <v>4.5</v>
          </cell>
          <cell r="B60" t="str">
            <v>COTAÇÃO</v>
          </cell>
          <cell r="C60" t="str">
            <v>007</v>
          </cell>
          <cell r="D60" t="str">
            <v>TUBO, COM PONTA E FLANGE, COM ABA DE VEDAÇÃO, ESP. 1/4", ∅900mm, L=500mm</v>
          </cell>
          <cell r="E60" t="str">
            <v xml:space="preserve">UN </v>
          </cell>
          <cell r="F60">
            <v>2</v>
          </cell>
          <cell r="G60">
            <v>6875.0000000000009</v>
          </cell>
          <cell r="H60" t="str">
            <v>BDI 1</v>
          </cell>
          <cell r="I60">
            <v>8465.8700000000008</v>
          </cell>
          <cell r="J60">
            <v>16931.740000000002</v>
          </cell>
          <cell r="K60">
            <v>0</v>
          </cell>
        </row>
        <row r="61">
          <cell r="A61" t="str">
            <v>4.6</v>
          </cell>
          <cell r="B61" t="str">
            <v>COTAÇÃO</v>
          </cell>
          <cell r="C61" t="str">
            <v>008</v>
          </cell>
          <cell r="D61" t="str">
            <v>FLANGE CEGO, ∅1000mm</v>
          </cell>
          <cell r="E61" t="str">
            <v xml:space="preserve">UN </v>
          </cell>
          <cell r="F61">
            <v>1</v>
          </cell>
          <cell r="G61">
            <v>6287.64</v>
          </cell>
          <cell r="H61" t="str">
            <v>BDI 1</v>
          </cell>
          <cell r="I61">
            <v>7742.59</v>
          </cell>
          <cell r="J61">
            <v>7742.59</v>
          </cell>
          <cell r="K61">
            <v>0</v>
          </cell>
        </row>
        <row r="62">
          <cell r="A62" t="str">
            <v>4.7</v>
          </cell>
          <cell r="B62" t="str">
            <v>COTAÇÃO</v>
          </cell>
          <cell r="C62" t="str">
            <v>009</v>
          </cell>
          <cell r="D62" t="str">
            <v>FLANGE CEGO, ∅900mm</v>
          </cell>
          <cell r="E62" t="str">
            <v xml:space="preserve">UN </v>
          </cell>
          <cell r="F62">
            <v>2</v>
          </cell>
          <cell r="G62">
            <v>4158.54</v>
          </cell>
          <cell r="H62" t="str">
            <v>BDI 1</v>
          </cell>
          <cell r="I62">
            <v>5120.82</v>
          </cell>
          <cell r="J62">
            <v>10241.64</v>
          </cell>
          <cell r="K62">
            <v>0</v>
          </cell>
        </row>
        <row r="63">
          <cell r="A63" t="str">
            <v>4.8</v>
          </cell>
          <cell r="B63" t="str">
            <v>SABESP</v>
          </cell>
          <cell r="C63" t="str">
            <v>HM06310</v>
          </cell>
          <cell r="D63" t="str">
            <v>EXTREMIDADE PONTA - FLANGE PN10 E ABA DE VEDAÇÃO FERRO FUNDIDO DN=500 MM L=700 MM (147,00 KG) PINTURA EPÓXI VERMELHA - ACESSÓRIOS NÃO INCLUSOS NBR 15420 ESGOTO</v>
          </cell>
          <cell r="E63" t="str">
            <v xml:space="preserve">UN </v>
          </cell>
          <cell r="F63">
            <v>1</v>
          </cell>
          <cell r="G63">
            <v>7291</v>
          </cell>
          <cell r="H63" t="str">
            <v>BDI 2</v>
          </cell>
          <cell r="I63">
            <v>9332.48</v>
          </cell>
          <cell r="J63">
            <v>9332.48</v>
          </cell>
          <cell r="K63">
            <v>0</v>
          </cell>
        </row>
        <row r="64">
          <cell r="A64" t="str">
            <v>4.9</v>
          </cell>
          <cell r="B64" t="str">
            <v>SABESP</v>
          </cell>
          <cell r="C64" t="str">
            <v>HM06307</v>
          </cell>
          <cell r="D64" t="str">
            <v>EXTREMIDADE PONTA - FLANGE PN10 E ABA DE VEDAÇÃO FERRO FUNDIDO DN=300 MM L=700 MM (75,00 KG) PINTURA EPÓXI VERMELHA - ACESSÓRIOS NÃO INCLUSOS NBR 15420 ESGOTO</v>
          </cell>
          <cell r="E64" t="str">
            <v xml:space="preserve">UN </v>
          </cell>
          <cell r="F64">
            <v>1</v>
          </cell>
          <cell r="G64">
            <v>2898.78</v>
          </cell>
          <cell r="H64" t="str">
            <v>BDI 2</v>
          </cell>
          <cell r="I64">
            <v>3710.43</v>
          </cell>
          <cell r="J64">
            <v>3710.43</v>
          </cell>
          <cell r="K64">
            <v>0</v>
          </cell>
        </row>
        <row r="65">
          <cell r="A65" t="str">
            <v>4.10</v>
          </cell>
          <cell r="B65" t="str">
            <v>SABESP</v>
          </cell>
          <cell r="C65" t="str">
            <v>HM06319</v>
          </cell>
          <cell r="D65" t="str">
            <v>EXTREMIDADE PONTA - FLANGE PN10/16 E ABA DE VEDAÇÃO FERRO FUNDIDO DN=150 MM L=700 MM (32,00 KG) PINTURA EPÓXI VERMELHA - ACESSÓRIOS NÃO INCLUSOS NBR 15420 ESGOTO</v>
          </cell>
          <cell r="E65" t="str">
            <v xml:space="preserve">UN </v>
          </cell>
          <cell r="F65">
            <v>1</v>
          </cell>
          <cell r="G65">
            <v>878.03</v>
          </cell>
          <cell r="H65" t="str">
            <v>BDI 2</v>
          </cell>
          <cell r="I65">
            <v>1123.8699999999999</v>
          </cell>
          <cell r="J65">
            <v>1123.8699999999999</v>
          </cell>
          <cell r="K65">
            <v>0</v>
          </cell>
        </row>
        <row r="66">
          <cell r="A66" t="str">
            <v>4.11</v>
          </cell>
          <cell r="B66" t="str">
            <v>COTAÇÃO</v>
          </cell>
          <cell r="C66" t="str">
            <v>010</v>
          </cell>
          <cell r="D66" t="str">
            <v>EXTREMIDADE COM PONTAS E ABAS DE VEDAÇÃO, ∅150mm EM FF</v>
          </cell>
          <cell r="E66" t="str">
            <v xml:space="preserve">UN </v>
          </cell>
          <cell r="F66">
            <v>1</v>
          </cell>
          <cell r="G66">
            <v>381.25</v>
          </cell>
          <cell r="H66" t="str">
            <v>BDI 1</v>
          </cell>
          <cell r="I66">
            <v>469.47</v>
          </cell>
          <cell r="J66">
            <v>469.47</v>
          </cell>
          <cell r="K66">
            <v>0</v>
          </cell>
        </row>
        <row r="67">
          <cell r="A67" t="str">
            <v>4.12</v>
          </cell>
          <cell r="B67" t="str">
            <v>SABESP</v>
          </cell>
          <cell r="C67" t="str">
            <v>HM06336</v>
          </cell>
          <cell r="D67" t="str">
            <v>FLANGE CEGO PN10/16 FERRO FUNDIDO DN=150 MM (7,20 KG) PINTURA EPÓXI VERMELHA - ACESSÓRIOS NÃO INCLUSOS NBR 15420 ESGOTO</v>
          </cell>
          <cell r="E67" t="str">
            <v xml:space="preserve">UN </v>
          </cell>
          <cell r="F67">
            <v>1</v>
          </cell>
          <cell r="G67">
            <v>288.45999999999998</v>
          </cell>
          <cell r="H67" t="str">
            <v>BDI 2</v>
          </cell>
          <cell r="I67">
            <v>369.22</v>
          </cell>
          <cell r="J67">
            <v>369.22</v>
          </cell>
          <cell r="K67">
            <v>0</v>
          </cell>
        </row>
        <row r="68">
          <cell r="A68" t="str">
            <v>4.13</v>
          </cell>
          <cell r="B68" t="str">
            <v>SABESP</v>
          </cell>
          <cell r="C68" t="str">
            <v>HM06329</v>
          </cell>
          <cell r="D68" t="str">
            <v>FLANGE CEGO PN10 FERRO FUNDIDO DN=300 MM (24,00 KG) PINTURA EPÓXI VERMELHA - ACESSÓRIOS NÃO INCLUSOS NBR 15420 ESGOTO</v>
          </cell>
          <cell r="E68" t="str">
            <v xml:space="preserve">UN </v>
          </cell>
          <cell r="F68">
            <v>1</v>
          </cell>
          <cell r="G68">
            <v>975.88</v>
          </cell>
          <cell r="H68" t="str">
            <v>BDI 2</v>
          </cell>
          <cell r="I68">
            <v>1249.1199999999999</v>
          </cell>
          <cell r="J68">
            <v>1249.1199999999999</v>
          </cell>
          <cell r="K68">
            <v>0</v>
          </cell>
        </row>
        <row r="69">
          <cell r="A69" t="str">
            <v>4.14</v>
          </cell>
          <cell r="B69" t="str">
            <v>SABESP</v>
          </cell>
          <cell r="C69" t="str">
            <v>HM06334</v>
          </cell>
          <cell r="D69" t="str">
            <v>FLANGE CEGO PN10 FERRO FUNDIDO DN=500 MM (68,00 KG) PINTURA EPÓXI VERMELHA - ACESSÓRIOS NÃO INCLUSOS NBR 15420 ESGOTO</v>
          </cell>
          <cell r="E69" t="str">
            <v xml:space="preserve">UN </v>
          </cell>
          <cell r="F69">
            <v>1</v>
          </cell>
          <cell r="G69">
            <v>2719.23</v>
          </cell>
          <cell r="H69" t="str">
            <v>BDI 2</v>
          </cell>
          <cell r="I69">
            <v>3480.61</v>
          </cell>
          <cell r="J69">
            <v>3480.61</v>
          </cell>
          <cell r="K69">
            <v>0</v>
          </cell>
        </row>
        <row r="70">
          <cell r="A70" t="str">
            <v>4.15</v>
          </cell>
          <cell r="B70" t="str">
            <v>COTAÇÃO</v>
          </cell>
          <cell r="C70" t="str">
            <v>011</v>
          </cell>
          <cell r="D70" t="str">
            <v>COMPORTA QUADRADA COM SENTIDO DUPLO DE FLUXO, ACIONAMENTO MANUAL, 1200mm X 1200mm</v>
          </cell>
          <cell r="E70" t="str">
            <v xml:space="preserve">UN </v>
          </cell>
          <cell r="F70">
            <v>1</v>
          </cell>
          <cell r="G70">
            <v>190449.31</v>
          </cell>
          <cell r="H70" t="str">
            <v>BDI 1</v>
          </cell>
          <cell r="I70">
            <v>234519.28</v>
          </cell>
          <cell r="J70">
            <v>234519.28</v>
          </cell>
          <cell r="K70">
            <v>0</v>
          </cell>
        </row>
        <row r="71">
          <cell r="A71" t="str">
            <v>4.16</v>
          </cell>
          <cell r="B71" t="str">
            <v>SABESP</v>
          </cell>
          <cell r="C71" t="str">
            <v>HM03280</v>
          </cell>
          <cell r="D71" t="str">
            <v>PEDESTAL SIMPLES FERRO FUNDIDO MODELO 04 * (98,00 KG) MANOBRA DE VÁLVULA</v>
          </cell>
          <cell r="E71" t="str">
            <v xml:space="preserve">UN </v>
          </cell>
          <cell r="F71">
            <v>1</v>
          </cell>
          <cell r="G71">
            <v>1948.83</v>
          </cell>
          <cell r="H71" t="str">
            <v>BDI 2</v>
          </cell>
          <cell r="I71">
            <v>2494.5</v>
          </cell>
          <cell r="J71">
            <v>2494.5</v>
          </cell>
          <cell r="K71">
            <v>0</v>
          </cell>
        </row>
        <row r="72">
          <cell r="A72" t="str">
            <v>4.17</v>
          </cell>
          <cell r="B72" t="str">
            <v>SABESP</v>
          </cell>
          <cell r="C72" t="str">
            <v>HM06364</v>
          </cell>
          <cell r="D72" t="str">
            <v>HASTE DE PROLONGAMENTO C/QUADRADO E BOCA DE CHAVE FERRO TREFILADO D=2.1/2" X L=3750MM (25 KG/M) PINTURA EPÓXI AZUL P/MANOBRA DE VÁLVULAS</v>
          </cell>
          <cell r="E72" t="str">
            <v xml:space="preserve">UN </v>
          </cell>
          <cell r="F72">
            <v>1</v>
          </cell>
          <cell r="G72">
            <v>6888.7574999999997</v>
          </cell>
          <cell r="H72" t="str">
            <v>BDI 2</v>
          </cell>
          <cell r="I72">
            <v>8817.6</v>
          </cell>
          <cell r="J72">
            <v>8817.6</v>
          </cell>
          <cell r="K72">
            <v>0</v>
          </cell>
        </row>
        <row r="73">
          <cell r="A73" t="str">
            <v>4.18</v>
          </cell>
          <cell r="B73" t="str">
            <v>SABESP</v>
          </cell>
          <cell r="C73" t="str">
            <v>HM03248</v>
          </cell>
          <cell r="D73" t="str">
            <v>MANCAL INTERMEDIÁRIO PARA HASTE DE PROLONGAMENTO FERRO FUNDIDO D=2 1/2" * (8,50KG) COM ACESSÓRIOS DE FIXAÇÃO</v>
          </cell>
          <cell r="E73" t="str">
            <v xml:space="preserve">UN </v>
          </cell>
          <cell r="F73">
            <v>1</v>
          </cell>
          <cell r="G73">
            <v>968.44</v>
          </cell>
          <cell r="H73" t="str">
            <v>BDI 2</v>
          </cell>
          <cell r="I73">
            <v>1239.5999999999999</v>
          </cell>
          <cell r="J73">
            <v>1239.5999999999999</v>
          </cell>
          <cell r="K73">
            <v>0</v>
          </cell>
        </row>
        <row r="74">
          <cell r="A74" t="str">
            <v>4.19</v>
          </cell>
          <cell r="B74" t="str">
            <v>COTAÇÃO</v>
          </cell>
          <cell r="C74" t="str">
            <v>012</v>
          </cell>
          <cell r="D74" t="str">
            <v>VERTEDOR AJUSTÁVEL, 1500x200mm EM FIBRA DE VIDRO</v>
          </cell>
          <cell r="E74" t="str">
            <v xml:space="preserve">UN </v>
          </cell>
          <cell r="F74">
            <v>2</v>
          </cell>
          <cell r="G74">
            <v>972.07999999999993</v>
          </cell>
          <cell r="H74" t="str">
            <v>BDI 1</v>
          </cell>
          <cell r="I74">
            <v>1197.01</v>
          </cell>
          <cell r="J74">
            <v>2394.02</v>
          </cell>
          <cell r="K74">
            <v>0</v>
          </cell>
        </row>
        <row r="75">
          <cell r="A75" t="str">
            <v>4.20</v>
          </cell>
          <cell r="B75" t="str">
            <v>COTAÇÃO</v>
          </cell>
          <cell r="C75" t="str">
            <v>013</v>
          </cell>
          <cell r="D75" t="str">
            <v>VERTEDOR AJUSTÁVEL, 1600x200mm EM FIBRA DE VIDRO</v>
          </cell>
          <cell r="E75" t="str">
            <v xml:space="preserve">UN </v>
          </cell>
          <cell r="F75">
            <v>1</v>
          </cell>
          <cell r="G75">
            <v>1012.54</v>
          </cell>
          <cell r="H75" t="str">
            <v>BDI 1</v>
          </cell>
          <cell r="I75">
            <v>1246.8399999999999</v>
          </cell>
          <cell r="J75">
            <v>1246.8399999999999</v>
          </cell>
          <cell r="K75">
            <v>0</v>
          </cell>
        </row>
        <row r="76">
          <cell r="A76" t="str">
            <v>4.21</v>
          </cell>
          <cell r="B76" t="str">
            <v>COTAÇÃO</v>
          </cell>
          <cell r="C76" t="str">
            <v>014</v>
          </cell>
          <cell r="D76" t="str">
            <v>STOP-LOG COM GUIAS EMBUTIDAS, ACIONAMENTO MANUAL COM VOLANTE, ∅IAS H=3000x∅OP H=600</v>
          </cell>
          <cell r="E76" t="str">
            <v>CJ</v>
          </cell>
          <cell r="F76">
            <v>3</v>
          </cell>
          <cell r="G76">
            <v>13243.21</v>
          </cell>
          <cell r="H76" t="str">
            <v>BDI 1</v>
          </cell>
          <cell r="I76">
            <v>16307.68</v>
          </cell>
          <cell r="J76">
            <v>48923.040000000001</v>
          </cell>
          <cell r="K76">
            <v>0</v>
          </cell>
        </row>
        <row r="77">
          <cell r="A77" t="str">
            <v>4.22</v>
          </cell>
          <cell r="B77" t="str">
            <v>COTAÇÃO</v>
          </cell>
          <cell r="C77" t="str">
            <v>015</v>
          </cell>
          <cell r="D77" t="str">
            <v>ACESSÓRIOS PARA MONTAGEM DE FLANGES, ∅1200mm EM AÇO CARBONO</v>
          </cell>
          <cell r="E77" t="str">
            <v>CJ</v>
          </cell>
          <cell r="F77">
            <v>1</v>
          </cell>
          <cell r="G77">
            <v>14457.6</v>
          </cell>
          <cell r="H77" t="str">
            <v>BDI 2</v>
          </cell>
          <cell r="I77">
            <v>18505.72</v>
          </cell>
          <cell r="J77">
            <v>18505.72</v>
          </cell>
          <cell r="K77">
            <v>0</v>
          </cell>
        </row>
        <row r="78">
          <cell r="A78" t="str">
            <v>4.23</v>
          </cell>
          <cell r="B78" t="str">
            <v>COTAÇÃO</v>
          </cell>
          <cell r="C78" t="str">
            <v>016</v>
          </cell>
          <cell r="D78" t="str">
            <v>ACESSÓRIOS PARA MONTAGEM DE FLANGES, ∅1000mm EM AÇO CARBONO</v>
          </cell>
          <cell r="E78" t="str">
            <v>CJ</v>
          </cell>
          <cell r="F78">
            <v>2</v>
          </cell>
          <cell r="G78">
            <v>9432.64</v>
          </cell>
          <cell r="H78" t="str">
            <v>BDI 2</v>
          </cell>
          <cell r="I78">
            <v>12073.77</v>
          </cell>
          <cell r="J78">
            <v>24147.54</v>
          </cell>
          <cell r="K78">
            <v>0</v>
          </cell>
        </row>
        <row r="79">
          <cell r="A79" t="str">
            <v>4.24</v>
          </cell>
          <cell r="B79" t="str">
            <v>COTAÇÃO</v>
          </cell>
          <cell r="C79" t="str">
            <v>017</v>
          </cell>
          <cell r="D79" t="str">
            <v>ACESSÓRIOS PARA MONTAGEM DE FLANGES, ∅900mm EM AÇO CARBONO</v>
          </cell>
          <cell r="E79" t="str">
            <v>CJ</v>
          </cell>
          <cell r="F79">
            <v>2</v>
          </cell>
          <cell r="G79">
            <v>6660.36</v>
          </cell>
          <cell r="H79" t="str">
            <v>BDI 2</v>
          </cell>
          <cell r="I79">
            <v>8525.26</v>
          </cell>
          <cell r="J79">
            <v>17050.52</v>
          </cell>
          <cell r="K79">
            <v>0</v>
          </cell>
        </row>
        <row r="80">
          <cell r="A80" t="str">
            <v>4.25</v>
          </cell>
          <cell r="B80" t="str">
            <v>COTAÇÃO</v>
          </cell>
          <cell r="C80" t="str">
            <v>018</v>
          </cell>
          <cell r="D80" t="str">
            <v>ACESSÓRIOS PARA MONTAGEM DE FLANGES, ∅500mm EM AÇO CARBONO</v>
          </cell>
          <cell r="E80" t="str">
            <v>CJ</v>
          </cell>
          <cell r="F80">
            <v>1</v>
          </cell>
          <cell r="G80">
            <v>2337.8000000000002</v>
          </cell>
          <cell r="H80" t="str">
            <v>BDI 2</v>
          </cell>
          <cell r="I80">
            <v>2992.38</v>
          </cell>
          <cell r="J80">
            <v>2992.38</v>
          </cell>
          <cell r="K80">
            <v>0</v>
          </cell>
        </row>
        <row r="81">
          <cell r="A81" t="str">
            <v>4.26</v>
          </cell>
          <cell r="B81" t="str">
            <v>COTAÇÃO</v>
          </cell>
          <cell r="C81" t="str">
            <v>019</v>
          </cell>
          <cell r="D81" t="str">
            <v>ACESSÓRIOS PARA MONTAGEM DE FLANGES, ∅300mm EM AÇO CARBONO</v>
          </cell>
          <cell r="E81" t="str">
            <v>CJ</v>
          </cell>
          <cell r="F81">
            <v>1</v>
          </cell>
          <cell r="G81">
            <v>926.76</v>
          </cell>
          <cell r="H81" t="str">
            <v>BDI 2</v>
          </cell>
          <cell r="I81">
            <v>1186.25</v>
          </cell>
          <cell r="J81">
            <v>1186.25</v>
          </cell>
          <cell r="K81">
            <v>0</v>
          </cell>
        </row>
        <row r="82">
          <cell r="A82" t="str">
            <v>4.27</v>
          </cell>
          <cell r="B82" t="str">
            <v>COTAÇÃO</v>
          </cell>
          <cell r="C82" t="str">
            <v>020</v>
          </cell>
          <cell r="D82" t="str">
            <v>ACESSÓRIOS PARA MONTAGEM DE FLANGES, ∅150mm EM AÇO CARBONO</v>
          </cell>
          <cell r="E82" t="str">
            <v>CJ</v>
          </cell>
          <cell r="F82">
            <v>1</v>
          </cell>
          <cell r="G82">
            <v>617.84</v>
          </cell>
          <cell r="H82" t="str">
            <v>BDI 2</v>
          </cell>
          <cell r="I82">
            <v>790.83</v>
          </cell>
          <cell r="J82">
            <v>790.83</v>
          </cell>
          <cell r="K82">
            <v>0</v>
          </cell>
        </row>
        <row r="83">
          <cell r="A83" t="str">
            <v>4.28</v>
          </cell>
          <cell r="B83" t="str">
            <v>COTAÇÃO</v>
          </cell>
          <cell r="C83" t="str">
            <v>021</v>
          </cell>
          <cell r="D83" t="str">
            <v>GRADE DE PISO, PARA ABERTURA 800x800mm, EM FIBRA DE VIDRO</v>
          </cell>
          <cell r="E83" t="str">
            <v xml:space="preserve">UN </v>
          </cell>
          <cell r="F83">
            <v>4</v>
          </cell>
          <cell r="G83">
            <v>823.30619999999999</v>
          </cell>
          <cell r="H83" t="str">
            <v>BDI 1</v>
          </cell>
          <cell r="I83">
            <v>1013.81</v>
          </cell>
          <cell r="J83">
            <v>4055.24</v>
          </cell>
          <cell r="K83">
            <v>0</v>
          </cell>
        </row>
        <row r="84">
          <cell r="A84" t="str">
            <v>4.29</v>
          </cell>
          <cell r="B84" t="str">
            <v>COTAÇÃO</v>
          </cell>
          <cell r="C84" t="str">
            <v>022</v>
          </cell>
          <cell r="D84" t="str">
            <v>GUARDA CORPO HORIZONTAL H=1,10m, EM FIBRA DE VIDRO</v>
          </cell>
          <cell r="E84" t="str">
            <v>M</v>
          </cell>
          <cell r="F84">
            <v>7.7</v>
          </cell>
          <cell r="G84">
            <v>989.43499999999995</v>
          </cell>
          <cell r="H84" t="str">
            <v>BDI 1</v>
          </cell>
          <cell r="I84">
            <v>1218.3900000000001</v>
          </cell>
          <cell r="J84">
            <v>9381.6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 t="str">
            <v>MONTAGEM E INSTALAÇÃO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4.30</v>
          </cell>
          <cell r="B86" t="str">
            <v>SINAPI</v>
          </cell>
          <cell r="C86">
            <v>90779</v>
          </cell>
          <cell r="D86" t="str">
            <v>ENGENHEIRO CIVIL DE OBRA SENIOR COM ENCARGOS COMPLEMENTARES</v>
          </cell>
          <cell r="E86" t="str">
            <v>H</v>
          </cell>
          <cell r="F86">
            <v>176</v>
          </cell>
          <cell r="G86">
            <v>173.01</v>
          </cell>
          <cell r="H86" t="str">
            <v>BDI 1</v>
          </cell>
          <cell r="I86">
            <v>213.04</v>
          </cell>
          <cell r="J86">
            <v>37495.040000000001</v>
          </cell>
          <cell r="K86">
            <v>0</v>
          </cell>
        </row>
        <row r="87">
          <cell r="A87" t="str">
            <v>4.31</v>
          </cell>
          <cell r="B87" t="str">
            <v>SINAPI</v>
          </cell>
          <cell r="C87">
            <v>88277</v>
          </cell>
          <cell r="D87" t="str">
            <v>MONTADOR (TUBO AÇO/EQUIPAMENTOS) COM ENCARGOS COMPLEMENTARES</v>
          </cell>
          <cell r="E87" t="str">
            <v>H</v>
          </cell>
          <cell r="F87">
            <v>176</v>
          </cell>
          <cell r="G87">
            <v>30.35</v>
          </cell>
          <cell r="H87" t="str">
            <v>BDI 1</v>
          </cell>
          <cell r="I87">
            <v>37.369999999999997</v>
          </cell>
          <cell r="J87">
            <v>6577.12</v>
          </cell>
          <cell r="K87">
            <v>0</v>
          </cell>
        </row>
        <row r="88">
          <cell r="A88" t="str">
            <v>4.32</v>
          </cell>
          <cell r="B88" t="str">
            <v>SINAPI</v>
          </cell>
          <cell r="C88">
            <v>88251</v>
          </cell>
          <cell r="D88" t="str">
            <v>AUXILIAR DE SERRALHEIRO COM ENCARGOS COMPLEMENTARES</v>
          </cell>
          <cell r="E88" t="str">
            <v>H</v>
          </cell>
          <cell r="F88">
            <v>176</v>
          </cell>
          <cell r="G88">
            <v>26.29</v>
          </cell>
          <cell r="H88" t="str">
            <v>BDI 1</v>
          </cell>
          <cell r="I88">
            <v>32.369999999999997</v>
          </cell>
          <cell r="J88">
            <v>5697.12</v>
          </cell>
          <cell r="K88">
            <v>0</v>
          </cell>
        </row>
        <row r="89">
          <cell r="A89" t="str">
            <v>4.33</v>
          </cell>
          <cell r="B89" t="str">
            <v>SINAPI</v>
          </cell>
          <cell r="C89">
            <v>88317</v>
          </cell>
          <cell r="D89" t="str">
            <v>SOLDADOR COM ENCARGOS COMPLEMENTARES</v>
          </cell>
          <cell r="E89" t="str">
            <v>H</v>
          </cell>
          <cell r="F89">
            <v>176</v>
          </cell>
          <cell r="G89">
            <v>35.450000000000003</v>
          </cell>
          <cell r="H89" t="str">
            <v>BDI 1</v>
          </cell>
          <cell r="I89">
            <v>43.65</v>
          </cell>
          <cell r="J89">
            <v>7682.4</v>
          </cell>
          <cell r="K89">
            <v>0</v>
          </cell>
        </row>
        <row r="90">
          <cell r="A90" t="str">
            <v>4.34</v>
          </cell>
          <cell r="B90" t="str">
            <v>SINAPI</v>
          </cell>
          <cell r="C90">
            <v>5928</v>
          </cell>
          <cell r="D90" t="str">
            <v>GUINDAUTO HIDRÁULICO, CAPACIDADE MÁXIMA DE CARGA 6200 KG, MOMENTO MÁXIMO DE CARGA 11,7 TM, ALCANCE MÁXIMO HORIZONTAL 9,70 M, INCLUSIVE CAMINHÃO TOCO PBT 16.000 KG, POTÊNCIA DE 189 CV - CHP DIURNO. AF_06/2014</v>
          </cell>
          <cell r="E90" t="str">
            <v>CHP</v>
          </cell>
          <cell r="F90">
            <v>52.8</v>
          </cell>
          <cell r="G90">
            <v>261.31</v>
          </cell>
          <cell r="H90" t="str">
            <v>BDI 1</v>
          </cell>
          <cell r="I90">
            <v>321.77</v>
          </cell>
          <cell r="J90">
            <v>16989.45</v>
          </cell>
          <cell r="K90">
            <v>0</v>
          </cell>
        </row>
        <row r="91">
          <cell r="A91" t="str">
            <v>4.35</v>
          </cell>
          <cell r="B91" t="str">
            <v>SINAPI</v>
          </cell>
          <cell r="C91">
            <v>5930</v>
          </cell>
          <cell r="D91" t="str">
            <v>GUINDAUTO HIDRÁULICO, CAPACIDADE MÁXIMA DE CARGA 6200 KG, MOMENTO MÁXIMO DE CARGA 11,7 TM, ALCANCE MÁXIMO HORIZONTAL 9,70 M, INCLUSIVE CAMINHÃO TOCO PBT 16.000 KG, POTÊNCIA DE 189 CV - CHI DIURNO. AF_06/2014</v>
          </cell>
          <cell r="E91" t="str">
            <v>CHI</v>
          </cell>
          <cell r="F91">
            <v>123.2</v>
          </cell>
          <cell r="G91">
            <v>65.569999999999993</v>
          </cell>
          <cell r="H91" t="str">
            <v>BDI 1</v>
          </cell>
          <cell r="I91">
            <v>80.739999999999995</v>
          </cell>
          <cell r="J91">
            <v>9947.16</v>
          </cell>
          <cell r="K91">
            <v>0</v>
          </cell>
        </row>
        <row r="92">
          <cell r="A92" t="str">
            <v>5.</v>
          </cell>
          <cell r="B92">
            <v>0</v>
          </cell>
          <cell r="C92">
            <v>0</v>
          </cell>
          <cell r="D92" t="str">
            <v>TUBULAÇÕES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413051.43</v>
          </cell>
          <cell r="K92">
            <v>0.2583662395476658</v>
          </cell>
        </row>
        <row r="93">
          <cell r="A93">
            <v>0</v>
          </cell>
          <cell r="B93">
            <v>0</v>
          </cell>
          <cell r="C93">
            <v>0</v>
          </cell>
          <cell r="D93" t="str">
            <v>TUBULAÇÕES À MONTANTE DA (CDV-02)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5.1</v>
          </cell>
          <cell r="B94" t="str">
            <v>COTAÇÃO</v>
          </cell>
          <cell r="C94" t="str">
            <v>023</v>
          </cell>
          <cell r="D94" t="str">
            <v>REMOÇÃO DE TUBO EM AC DN1000, COM REAPROVEITAMENTO</v>
          </cell>
          <cell r="E94" t="str">
            <v>M</v>
          </cell>
          <cell r="F94">
            <v>8.3000000000000007</v>
          </cell>
          <cell r="G94">
            <v>0</v>
          </cell>
          <cell r="H94" t="str">
            <v>BDI 1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5.2</v>
          </cell>
          <cell r="B95" t="str">
            <v>COTAÇÃO</v>
          </cell>
          <cell r="C95" t="str">
            <v>024</v>
          </cell>
          <cell r="D95" t="str">
            <v>REMOÇÃO DE TUBO EM AC DN1200, COM REAPROVEITAMENTO</v>
          </cell>
          <cell r="E95" t="str">
            <v>M</v>
          </cell>
          <cell r="F95">
            <v>6</v>
          </cell>
          <cell r="G95">
            <v>0</v>
          </cell>
          <cell r="H95" t="str">
            <v>BDI 1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5.3</v>
          </cell>
          <cell r="B96" t="str">
            <v>COTAÇÃO</v>
          </cell>
          <cell r="C96" t="str">
            <v>025</v>
          </cell>
          <cell r="D96" t="str">
            <v>REMOÇÃO DE TUBO EM FF DN150, COM REAPROVEITAMENTO</v>
          </cell>
          <cell r="E96" t="str">
            <v>M</v>
          </cell>
          <cell r="F96">
            <v>14.8</v>
          </cell>
          <cell r="G96">
            <v>0</v>
          </cell>
          <cell r="H96" t="str">
            <v>BDI 1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5.4</v>
          </cell>
          <cell r="B97" t="str">
            <v>COTAÇÃO</v>
          </cell>
          <cell r="C97" t="str">
            <v>026</v>
          </cell>
          <cell r="D97" t="str">
            <v>INSTALAÇÃO DE TUBO PEAD FLANGEADO DN1000, COM FORNECIMENTO DE MATERIAL E MÃO DE OBRA</v>
          </cell>
          <cell r="E97" t="str">
            <v>M</v>
          </cell>
          <cell r="F97">
            <v>8.19</v>
          </cell>
          <cell r="G97">
            <v>7641.9833333333336</v>
          </cell>
          <cell r="H97" t="str">
            <v>BDI 1</v>
          </cell>
          <cell r="I97">
            <v>9410.33</v>
          </cell>
          <cell r="J97">
            <v>77070.600000000006</v>
          </cell>
          <cell r="K97">
            <v>0</v>
          </cell>
        </row>
        <row r="98">
          <cell r="A98" t="str">
            <v>5.5</v>
          </cell>
          <cell r="B98" t="str">
            <v>COTAÇÃO</v>
          </cell>
          <cell r="C98" t="str">
            <v>027</v>
          </cell>
          <cell r="D98" t="str">
            <v>INSTALAÇÃO DE TUBO PEAD FLANGEADO DN1200, COM FORNECIMENTO DE MATERIAL E MÃO DE OBRA</v>
          </cell>
          <cell r="E98" t="str">
            <v>M</v>
          </cell>
          <cell r="F98">
            <v>12.04</v>
          </cell>
          <cell r="G98">
            <v>0</v>
          </cell>
          <cell r="H98" t="str">
            <v>BDI 1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5.6</v>
          </cell>
          <cell r="B99" t="str">
            <v>COTAÇÃO</v>
          </cell>
          <cell r="C99" t="str">
            <v>028</v>
          </cell>
          <cell r="D99" t="str">
            <v>EXECUÇÃO DE COLARINHO E FLANGE P/ TUBO PEAD DN1000, INCLUSIVE ACESSÓRIOS</v>
          </cell>
          <cell r="E99" t="str">
            <v xml:space="preserve">UN </v>
          </cell>
          <cell r="F99">
            <v>4</v>
          </cell>
          <cell r="G99">
            <v>19231.919999999998</v>
          </cell>
          <cell r="H99" t="str">
            <v>BDI 1</v>
          </cell>
          <cell r="I99">
            <v>23682.18</v>
          </cell>
          <cell r="J99">
            <v>94728.72</v>
          </cell>
          <cell r="K99">
            <v>0</v>
          </cell>
        </row>
        <row r="100">
          <cell r="A100" t="str">
            <v>5.7</v>
          </cell>
          <cell r="B100" t="str">
            <v>COTAÇÃO</v>
          </cell>
          <cell r="C100" t="str">
            <v>029</v>
          </cell>
          <cell r="D100" t="str">
            <v>EXECUÇÃO DE COLARINHO E FLANGE P/ TUBO PEAD DN1200, INCLUSIVE ACESSÓRIOS</v>
          </cell>
          <cell r="E100" t="str">
            <v xml:space="preserve">UN </v>
          </cell>
          <cell r="F100">
            <v>4</v>
          </cell>
          <cell r="G100">
            <v>0</v>
          </cell>
          <cell r="H100" t="str">
            <v>BDI 1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5.8</v>
          </cell>
          <cell r="B101" t="str">
            <v>COTAÇÃO</v>
          </cell>
          <cell r="C101" t="str">
            <v>030</v>
          </cell>
          <cell r="D101" t="str">
            <v>INSTALAÇÃO DE CURVA SEGMENTADA, 90°, 7 GOMOS, COM FLANGES, ESP. 5/16", DN1000, COM FORNECIMENTO DE MATERIAL E MÃO DE OBRA</v>
          </cell>
          <cell r="E101" t="str">
            <v xml:space="preserve">UN </v>
          </cell>
          <cell r="F101">
            <v>1</v>
          </cell>
          <cell r="G101">
            <v>15516.485000000001</v>
          </cell>
          <cell r="H101" t="str">
            <v>BDI 1</v>
          </cell>
          <cell r="I101">
            <v>19106.990000000002</v>
          </cell>
          <cell r="J101">
            <v>19106.990000000002</v>
          </cell>
          <cell r="K101">
            <v>0</v>
          </cell>
        </row>
        <row r="102">
          <cell r="A102" t="str">
            <v>5.9</v>
          </cell>
          <cell r="B102" t="str">
            <v>COTAÇÃO</v>
          </cell>
          <cell r="C102" t="str">
            <v>031</v>
          </cell>
          <cell r="D102" t="str">
            <v>INSTALAÇÃO DE CURVA SEGMENTADA, 90°, 7 GOMOS, COM FLANGE E PONTA BISELADA PARA SOLDA, ESP. 5/16", DN1000, COM FORNECIMENTO DE MATERIAL E MÃO DE OBRA</v>
          </cell>
          <cell r="E102" t="str">
            <v xml:space="preserve">UN </v>
          </cell>
          <cell r="F102">
            <v>1</v>
          </cell>
          <cell r="G102">
            <v>15625</v>
          </cell>
          <cell r="H102" t="str">
            <v>BDI 1</v>
          </cell>
          <cell r="I102">
            <v>19240.62</v>
          </cell>
          <cell r="J102">
            <v>19240.62</v>
          </cell>
          <cell r="K102">
            <v>0</v>
          </cell>
        </row>
        <row r="103">
          <cell r="A103" t="str">
            <v>5.10</v>
          </cell>
          <cell r="B103" t="str">
            <v>COTAÇÃO</v>
          </cell>
          <cell r="C103" t="str">
            <v>032</v>
          </cell>
          <cell r="D103" t="str">
            <v>INSTALAÇÃO DE CURVA SEGMENTADA, 90°, 7 GOMOS, COM FLANGES, ESP. 3/8", DN1200, COM FORNECIMENTO DE MATERIAL E MÃO DE OBRA</v>
          </cell>
          <cell r="E103" t="str">
            <v xml:space="preserve">UN </v>
          </cell>
          <cell r="F103">
            <v>1</v>
          </cell>
          <cell r="G103">
            <v>22426.342499999999</v>
          </cell>
          <cell r="H103" t="str">
            <v>BDI 1</v>
          </cell>
          <cell r="I103">
            <v>27615.79</v>
          </cell>
          <cell r="J103">
            <v>27615.79</v>
          </cell>
          <cell r="K103">
            <v>0</v>
          </cell>
        </row>
        <row r="104">
          <cell r="A104" t="str">
            <v>5.11</v>
          </cell>
          <cell r="B104" t="str">
            <v>COTAÇÃO</v>
          </cell>
          <cell r="C104" t="str">
            <v>033</v>
          </cell>
          <cell r="D104" t="str">
            <v>INSTALAÇÃO DE CURVA SEGMENTADA, 90°, 7 GOMOS, COM FLANGE E PONTA BISELADA PARA SOLDA, ESP. 3/8", DN1200, COM FORNECIMENTO DE MATERIAL E MÃO DE OBRA</v>
          </cell>
          <cell r="E104" t="str">
            <v xml:space="preserve">UN </v>
          </cell>
          <cell r="F104">
            <v>1</v>
          </cell>
          <cell r="G104">
            <v>18750</v>
          </cell>
          <cell r="H104" t="str">
            <v>BDI 1</v>
          </cell>
          <cell r="I104">
            <v>23088.75</v>
          </cell>
          <cell r="J104">
            <v>23088.75</v>
          </cell>
          <cell r="K104">
            <v>0</v>
          </cell>
        </row>
        <row r="105">
          <cell r="A105" t="str">
            <v>5.12</v>
          </cell>
          <cell r="B105" t="str">
            <v>COTAÇÃO</v>
          </cell>
          <cell r="C105" t="str">
            <v>034</v>
          </cell>
          <cell r="D105" t="str">
            <v>ACESSÓRIOS PARA MONTAGEM DE FLANGES, ∅1200mm EM AÇO CARBONO</v>
          </cell>
          <cell r="E105" t="str">
            <v>CJ</v>
          </cell>
          <cell r="F105">
            <v>3</v>
          </cell>
          <cell r="G105">
            <v>0</v>
          </cell>
          <cell r="H105" t="str">
            <v>BDI 1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5.13</v>
          </cell>
          <cell r="B106" t="str">
            <v>COTAÇÃO</v>
          </cell>
          <cell r="C106" t="str">
            <v>035</v>
          </cell>
          <cell r="D106" t="str">
            <v>ACESSÓRIOS PARA MONTAGEM DE FLANGES, ∅1000mm EM AÇO CARBONO</v>
          </cell>
          <cell r="E106" t="str">
            <v>CJ</v>
          </cell>
          <cell r="F106">
            <v>3</v>
          </cell>
          <cell r="G106">
            <v>0</v>
          </cell>
          <cell r="H106" t="str">
            <v>BDI 1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5.14</v>
          </cell>
          <cell r="B107" t="str">
            <v>SABESP</v>
          </cell>
          <cell r="C107">
            <v>70080138</v>
          </cell>
          <cell r="D107" t="str">
            <v>ASSENTAM. SIMPLES DE TUBOS E PEÇAS, DN 150 MM, EM F°F°, JE ( C)</v>
          </cell>
          <cell r="E107" t="str">
            <v>M</v>
          </cell>
          <cell r="F107">
            <v>10.4</v>
          </cell>
          <cell r="G107">
            <v>9.171875</v>
          </cell>
          <cell r="H107" t="str">
            <v>BDI 2</v>
          </cell>
          <cell r="I107">
            <v>11.74</v>
          </cell>
          <cell r="J107">
            <v>122.09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 t="str">
            <v>TUBULAÇÕES À JUSANTE DA CDV-02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5.15</v>
          </cell>
          <cell r="B109" t="str">
            <v>COTAÇÃO</v>
          </cell>
          <cell r="C109" t="str">
            <v>036</v>
          </cell>
          <cell r="D109" t="str">
            <v>REMOÇÃO DE TUBO EM AC DN900, COM REAPROVEITAMENTO</v>
          </cell>
          <cell r="E109" t="str">
            <v>M</v>
          </cell>
          <cell r="F109">
            <v>26.5</v>
          </cell>
          <cell r="G109">
            <v>0</v>
          </cell>
          <cell r="H109" t="str">
            <v>BDI 1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5.16</v>
          </cell>
          <cell r="B110" t="str">
            <v>COTAÇÃO</v>
          </cell>
          <cell r="C110" t="str">
            <v>037</v>
          </cell>
          <cell r="D110" t="str">
            <v>REMOÇÃO DE TUBO EM AC DN1200, COM REAPROVEITAMENTO</v>
          </cell>
          <cell r="E110" t="str">
            <v>M</v>
          </cell>
          <cell r="F110">
            <v>15.3</v>
          </cell>
          <cell r="G110">
            <v>0</v>
          </cell>
          <cell r="H110" t="str">
            <v>BDI 1</v>
          </cell>
          <cell r="I110">
            <v>0</v>
          </cell>
          <cell r="J110">
            <v>0</v>
          </cell>
          <cell r="K110">
            <v>0</v>
          </cell>
        </row>
        <row r="111">
          <cell r="A111" t="str">
            <v>5.17</v>
          </cell>
          <cell r="B111" t="str">
            <v>COTAÇÃO</v>
          </cell>
          <cell r="C111" t="str">
            <v>038</v>
          </cell>
          <cell r="D111" t="str">
            <v>INSTALAÇÃO DE TUBO EM AC DN900, REAPROVEITADO</v>
          </cell>
          <cell r="E111" t="str">
            <v>M</v>
          </cell>
          <cell r="F111">
            <v>26.5</v>
          </cell>
          <cell r="G111">
            <v>0</v>
          </cell>
          <cell r="H111" t="str">
            <v>BDI 1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5.18</v>
          </cell>
          <cell r="B112" t="str">
            <v>COTAÇÃO</v>
          </cell>
          <cell r="C112" t="str">
            <v>039</v>
          </cell>
          <cell r="D112" t="str">
            <v>INSTALAÇÃO DE TUBO EM AC DN1200, REAPROVEITADO</v>
          </cell>
          <cell r="E112" t="str">
            <v>M</v>
          </cell>
          <cell r="F112">
            <v>17.5</v>
          </cell>
          <cell r="G112">
            <v>0</v>
          </cell>
          <cell r="H112" t="str">
            <v>BDI 1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5.19</v>
          </cell>
          <cell r="B113" t="str">
            <v>COTAÇÃO</v>
          </cell>
          <cell r="C113" t="str">
            <v>040</v>
          </cell>
          <cell r="D113" t="str">
            <v>MONTAGEM E INSTALAÇÃO DE TUBO EM AC DN900, ESP. 1/4", SOLDADO, COM FORNC. DE MATERIAL E MÃO DE OBRA</v>
          </cell>
          <cell r="E113" t="str">
            <v>M</v>
          </cell>
          <cell r="F113">
            <v>6.2</v>
          </cell>
          <cell r="G113">
            <v>6250</v>
          </cell>
          <cell r="H113" t="str">
            <v>BDI 1</v>
          </cell>
          <cell r="I113">
            <v>7696.25</v>
          </cell>
          <cell r="J113">
            <v>47716.75</v>
          </cell>
          <cell r="K113">
            <v>0</v>
          </cell>
        </row>
        <row r="114">
          <cell r="A114" t="str">
            <v>5.20</v>
          </cell>
          <cell r="B114" t="str">
            <v>COTAÇÃO</v>
          </cell>
          <cell r="C114" t="str">
            <v>041</v>
          </cell>
          <cell r="D114" t="str">
            <v>INSTALAÇÃO DE CURVA SEGMENTADA, 3 GOMOS, COM PONTAS BISELADAS PARA SOLDA, ESP. 1/4", DN900, COM FORNCEIMENTO DE MATERIAL E MÃO DE OBRA</v>
          </cell>
          <cell r="E114" t="str">
            <v xml:space="preserve">UN </v>
          </cell>
          <cell r="F114">
            <v>4</v>
          </cell>
          <cell r="G114">
            <v>14125</v>
          </cell>
          <cell r="H114" t="str">
            <v>BDI 1</v>
          </cell>
          <cell r="I114">
            <v>17393.52</v>
          </cell>
          <cell r="J114">
            <v>69574.080000000002</v>
          </cell>
          <cell r="K114">
            <v>0</v>
          </cell>
        </row>
        <row r="115">
          <cell r="A115" t="str">
            <v>5.21</v>
          </cell>
          <cell r="B115" t="str">
            <v>COTAÇÃO</v>
          </cell>
          <cell r="C115" t="str">
            <v>042</v>
          </cell>
          <cell r="D115" t="str">
            <v>INSTALAÇÃO DE CURVA SEGMENTADA, 3 GOMOS, COM PONTAS BISELADAS PARA SOLDA, ESP. 3/8", DN1200, COM FORNECIMENTO DE MATERIAL E MÃO DE OBRA</v>
          </cell>
          <cell r="E115">
            <v>0</v>
          </cell>
          <cell r="F115">
            <v>2</v>
          </cell>
          <cell r="G115">
            <v>14125</v>
          </cell>
          <cell r="H115" t="str">
            <v>BDI 1</v>
          </cell>
          <cell r="I115">
            <v>17393.52</v>
          </cell>
          <cell r="J115">
            <v>34787.040000000001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 t="str">
            <v>MONTAGEM E INSTALAÇÃO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5.22</v>
          </cell>
          <cell r="B117" t="str">
            <v>SINAPI</v>
          </cell>
          <cell r="C117">
            <v>90779</v>
          </cell>
          <cell r="D117" t="str">
            <v>ENGENHEIRO CIVIL DE OBRA SENIOR COM ENCARGOS COMPLEMENTARES</v>
          </cell>
          <cell r="E117" t="str">
            <v>H</v>
          </cell>
          <cell r="F117">
            <v>176</v>
          </cell>
          <cell r="G117">
            <v>173.01</v>
          </cell>
          <cell r="H117" t="str">
            <v>BDI 1</v>
          </cell>
          <cell r="I117">
            <v>213.04</v>
          </cell>
          <cell r="J117">
            <v>0</v>
          </cell>
          <cell r="K117">
            <v>0</v>
          </cell>
        </row>
        <row r="118">
          <cell r="A118" t="str">
            <v>5.23</v>
          </cell>
          <cell r="B118" t="str">
            <v>SINAPI</v>
          </cell>
          <cell r="C118">
            <v>88277</v>
          </cell>
          <cell r="D118" t="str">
            <v>MONTADOR (TUBO AÇO/EQUIPAMENTOS) COM ENCARGOS COMPLEMENTARES</v>
          </cell>
          <cell r="E118" t="str">
            <v>H</v>
          </cell>
          <cell r="F118">
            <v>176</v>
          </cell>
          <cell r="G118">
            <v>30.35</v>
          </cell>
          <cell r="H118" t="str">
            <v>BDI 1</v>
          </cell>
          <cell r="I118">
            <v>37.369999999999997</v>
          </cell>
          <cell r="J118">
            <v>0</v>
          </cell>
          <cell r="K118">
            <v>0</v>
          </cell>
        </row>
        <row r="119">
          <cell r="A119" t="str">
            <v>5.24</v>
          </cell>
          <cell r="B119" t="str">
            <v>SINAPI</v>
          </cell>
          <cell r="C119">
            <v>88251</v>
          </cell>
          <cell r="D119" t="str">
            <v>AUXILIAR DE SERRALHEIRO COM ENCARGOS COMPLEMENTARES</v>
          </cell>
          <cell r="E119" t="str">
            <v>H</v>
          </cell>
          <cell r="F119">
            <v>176</v>
          </cell>
          <cell r="G119">
            <v>26.29</v>
          </cell>
          <cell r="H119" t="str">
            <v>BDI 1</v>
          </cell>
          <cell r="I119">
            <v>32.369999999999997</v>
          </cell>
          <cell r="J119">
            <v>0</v>
          </cell>
          <cell r="K119">
            <v>0</v>
          </cell>
        </row>
        <row r="120">
          <cell r="A120" t="str">
            <v>5.25</v>
          </cell>
          <cell r="B120" t="str">
            <v>SINAPI</v>
          </cell>
          <cell r="C120">
            <v>88317</v>
          </cell>
          <cell r="D120" t="str">
            <v>SOLDADOR COM ENCARGOS COMPLEMENTARES</v>
          </cell>
          <cell r="E120" t="str">
            <v>H</v>
          </cell>
          <cell r="F120">
            <v>176</v>
          </cell>
          <cell r="G120">
            <v>35.450000000000003</v>
          </cell>
          <cell r="H120" t="str">
            <v>BDI 1</v>
          </cell>
          <cell r="I120">
            <v>43.65</v>
          </cell>
          <cell r="J120">
            <v>0</v>
          </cell>
          <cell r="K120">
            <v>0</v>
          </cell>
        </row>
        <row r="121">
          <cell r="A121" t="str">
            <v>5.26</v>
          </cell>
          <cell r="B121" t="str">
            <v>SINAPI</v>
          </cell>
          <cell r="C121">
            <v>5928</v>
          </cell>
          <cell r="D121" t="str">
            <v>GUINDAUTO HIDRÁULICO, CAPACIDADE MÁXIMA DE CARGA 6200 KG, MOMENTO MÁXIMO DE CARGA 11,7 TM, ALCANCE MÁXIMO HORIZONTAL 9,70 M, INCLUSIVE CAMINHÃO TOCO PBT 16.000 KG, POTÊNCIA DE 189 CV - CHP DIURNO. AF_06/2014</v>
          </cell>
          <cell r="E121" t="str">
            <v>CHP</v>
          </cell>
          <cell r="F121">
            <v>52.8</v>
          </cell>
          <cell r="G121">
            <v>261.31</v>
          </cell>
          <cell r="H121" t="str">
            <v>BDI 1</v>
          </cell>
          <cell r="I121">
            <v>321.77</v>
          </cell>
          <cell r="J121">
            <v>0</v>
          </cell>
          <cell r="K121">
            <v>0</v>
          </cell>
        </row>
        <row r="122">
          <cell r="A122" t="str">
            <v>5.27</v>
          </cell>
          <cell r="B122" t="str">
            <v>SINAPI</v>
          </cell>
          <cell r="C122">
            <v>5930</v>
          </cell>
          <cell r="D122" t="str">
            <v>GUINDAUTO HIDRÁULICO, CAPACIDADE MÁXIMA DE CARGA 6200 KG, MOMENTO MÁXIMO DE CARGA 11,7 TM, ALCANCE MÁXIMO HORIZONTAL 9,70 M, INCLUSIVE CAMINHÃO TOCO PBT 16.000 KG, POTÊNCIA DE 189 CV - CHI DIURNO. AF_06/2014</v>
          </cell>
          <cell r="E122" t="str">
            <v>CHI</v>
          </cell>
          <cell r="F122">
            <v>123.2</v>
          </cell>
          <cell r="G122">
            <v>65.569999999999993</v>
          </cell>
          <cell r="H122" t="str">
            <v>BDI 1</v>
          </cell>
          <cell r="I122">
            <v>80.739999999999995</v>
          </cell>
          <cell r="J122">
            <v>0</v>
          </cell>
          <cell r="K122">
            <v>0</v>
          </cell>
        </row>
        <row r="123">
          <cell r="A123" t="str">
            <v>6.</v>
          </cell>
          <cell r="B123">
            <v>0</v>
          </cell>
          <cell r="C123">
            <v>0</v>
          </cell>
          <cell r="D123" t="str">
            <v>IMPERMEABILIZAÇÃO CDV-02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120097.24</v>
          </cell>
          <cell r="K123">
            <v>7.5121570887319078E-2</v>
          </cell>
        </row>
        <row r="124">
          <cell r="A124" t="str">
            <v>6.1</v>
          </cell>
          <cell r="B124" t="str">
            <v>SABESP</v>
          </cell>
          <cell r="C124">
            <v>70190165</v>
          </cell>
          <cell r="D124" t="str">
            <v>REVESTIMENTO IMPERMEABILIZANTE À BASE DE POLIURETANO BICOMPONENTE ISENTO DE SOLVENTES, DE ALTA RESISTÊNCIA QUÍMICA, COM PREPARAÇÃO DA SUPERFÍCIE COM PRIMER</v>
          </cell>
          <cell r="E124" t="str">
            <v>M2</v>
          </cell>
          <cell r="F124">
            <v>369.28</v>
          </cell>
          <cell r="G124">
            <v>254.07812500000003</v>
          </cell>
          <cell r="H124" t="str">
            <v>BDI 2</v>
          </cell>
          <cell r="I124">
            <v>325.22000000000003</v>
          </cell>
          <cell r="J124">
            <v>120097.24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 t="str">
            <v>IMPERMEABILIZAÇÃO COTADO BANDEIRANTES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6.1</v>
          </cell>
          <cell r="B126" t="str">
            <v>COTAÇÃO</v>
          </cell>
          <cell r="C126">
            <v>0</v>
          </cell>
          <cell r="D126" t="str">
            <v>IMPERMEABILIZAÇÃO EM POLIURETANOS (RE.: MC FLEX)</v>
          </cell>
          <cell r="E126" t="str">
            <v>M2</v>
          </cell>
          <cell r="F126">
            <v>219.27</v>
          </cell>
          <cell r="G126">
            <v>492.04157869092086</v>
          </cell>
          <cell r="H126" t="str">
            <v>BDI 1</v>
          </cell>
          <cell r="I126">
            <v>605.9</v>
          </cell>
          <cell r="J126">
            <v>0</v>
          </cell>
          <cell r="K126">
            <v>0</v>
          </cell>
        </row>
        <row r="127">
          <cell r="A127" t="str">
            <v>6.2</v>
          </cell>
          <cell r="B127" t="str">
            <v>COTAÇÃO</v>
          </cell>
          <cell r="C127">
            <v>0</v>
          </cell>
          <cell r="D127" t="str">
            <v>IMPERMEABILIZAÇÃO EM POLIURETANOS FLEXIVEL (RE.: MC IMPER)</v>
          </cell>
          <cell r="E127" t="str">
            <v>M2</v>
          </cell>
          <cell r="F127">
            <v>259.77999999999997</v>
          </cell>
          <cell r="G127">
            <v>166.79389312977096</v>
          </cell>
          <cell r="H127" t="str">
            <v>BDI 1</v>
          </cell>
          <cell r="I127">
            <v>205.39</v>
          </cell>
          <cell r="J127">
            <v>0</v>
          </cell>
          <cell r="K127">
            <v>0</v>
          </cell>
        </row>
        <row r="128">
          <cell r="A128" t="str">
            <v>7.</v>
          </cell>
          <cell r="B128">
            <v>0</v>
          </cell>
          <cell r="C128">
            <v>0</v>
          </cell>
          <cell r="D128" t="str">
            <v>RECOMPOSIÇÃO DE PAVIMENTAÇÃO, CALÇADAS E INSTALAÇÕES EXISTENTES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18475.73</v>
          </cell>
          <cell r="K128">
            <v>1.1556684074421423E-2</v>
          </cell>
        </row>
        <row r="129">
          <cell r="A129" t="str">
            <v>7.1</v>
          </cell>
          <cell r="B129" t="str">
            <v>SINAPI</v>
          </cell>
          <cell r="C129">
            <v>94267</v>
          </cell>
          <cell r="D129" t="str">
            <v>GUIA (MEIO-FIO) E SARJETA CONJUGADOS DE CONCRETO, MOLDADA IN LOCO EM TRECHO RETO COM EXTRUSORA, 45 CM BASE (15 CM BASE DA GUIA + 30 CM BASE DA SARJETA) X 22 CM ALTURA. AF_06/2016</v>
          </cell>
          <cell r="E129" t="str">
            <v>M</v>
          </cell>
          <cell r="F129">
            <v>57.9</v>
          </cell>
          <cell r="G129">
            <v>53.62</v>
          </cell>
          <cell r="H129" t="str">
            <v>BDI 1</v>
          </cell>
          <cell r="I129">
            <v>66.02</v>
          </cell>
          <cell r="J129">
            <v>3822.55</v>
          </cell>
          <cell r="K129">
            <v>0</v>
          </cell>
        </row>
        <row r="130">
          <cell r="A130" t="str">
            <v>7.2</v>
          </cell>
          <cell r="B130" t="str">
            <v>SINAPI</v>
          </cell>
          <cell r="C130">
            <v>94268</v>
          </cell>
          <cell r="D130" t="str">
            <v>GUIA (MEIO-FIO) E SARJETA CONJUGADOS DE CONCRETO, MOLDADA IN LOCO EM TRECHO CURVO COM EXTRUSORA, 45 CM BASE (15 CM BASE DA GUIA + 30 CM BASE DA SARJETA) X 22 CM ALTURA. AF_06/2016</v>
          </cell>
          <cell r="E130" t="str">
            <v>M</v>
          </cell>
          <cell r="F130">
            <v>9</v>
          </cell>
          <cell r="G130">
            <v>59.15</v>
          </cell>
          <cell r="H130" t="str">
            <v>BDI 1</v>
          </cell>
          <cell r="I130">
            <v>72.83</v>
          </cell>
          <cell r="J130">
            <v>655.47</v>
          </cell>
          <cell r="K130">
            <v>0</v>
          </cell>
        </row>
        <row r="131">
          <cell r="A131" t="str">
            <v>7.3</v>
          </cell>
          <cell r="B131" t="str">
            <v>SINAPI</v>
          </cell>
          <cell r="C131">
            <v>94994</v>
          </cell>
          <cell r="D131" t="str">
            <v>EXECUÇÃO DE PASSEIO (CALÇADA) OU PISO DE CONCRETO COM CONCRETO MOLDADO IN LOCO, FEITO EM OBRA, ACABAMENTO CONVENCIONAL, ESPESSURA 8 CM, ARMADO. AF_08/2022</v>
          </cell>
          <cell r="E131" t="str">
            <v>M2</v>
          </cell>
          <cell r="F131">
            <v>66.099999999999994</v>
          </cell>
          <cell r="G131">
            <v>86.39</v>
          </cell>
          <cell r="H131" t="str">
            <v>BDI 1</v>
          </cell>
          <cell r="I131">
            <v>106.38</v>
          </cell>
          <cell r="J131">
            <v>7031.71</v>
          </cell>
          <cell r="K131">
            <v>0</v>
          </cell>
        </row>
        <row r="132">
          <cell r="A132" t="str">
            <v>7.4</v>
          </cell>
          <cell r="B132" t="str">
            <v>SINAPI</v>
          </cell>
          <cell r="C132">
            <v>101859</v>
          </cell>
          <cell r="D132" t="str">
            <v>REASSENTAMENTO DE BLOCOS SEXTAVADO PARA PISO INTERTRAVADO, ESPESSURA DE 8 CM, EM VIA/ESTACIONAMENTO, COM REAPROVEITAMENTO DOS BLOCOS SEXTAVADO - INCLUSO RETIRADA E COLOCAÇÃO DO MATERIAL. AF_12/2020</v>
          </cell>
          <cell r="E132" t="str">
            <v>M2</v>
          </cell>
          <cell r="F132">
            <v>181.88</v>
          </cell>
          <cell r="G132">
            <v>31.11</v>
          </cell>
          <cell r="H132" t="str">
            <v>BDI 1</v>
          </cell>
          <cell r="I132">
            <v>38.299999999999997</v>
          </cell>
          <cell r="J132">
            <v>6966</v>
          </cell>
          <cell r="K132">
            <v>0</v>
          </cell>
        </row>
        <row r="133">
          <cell r="A133" t="str">
            <v>Obs.: Todos os valores foram truncados a partir da segunda casa decimal.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ORÇAMENTO"/>
      <sheetName val="CRONOGRAMA"/>
      <sheetName val="BDI"/>
      <sheetName val="MAPA DE COTAÇÕES"/>
      <sheetName val="COMPOSIÇÕES"/>
    </sheetNames>
    <sheetDataSet>
      <sheetData sheetId="0">
        <row r="4">
          <cell r="A4" t="str">
            <v>CONSTRUÇÃO DE EDIFÍCIOS</v>
          </cell>
        </row>
      </sheetData>
      <sheetData sheetId="1">
        <row r="7">
          <cell r="K7" t="str">
            <v>00</v>
          </cell>
        </row>
      </sheetData>
      <sheetData sheetId="2"/>
      <sheetData sheetId="3"/>
      <sheetData sheetId="4"/>
      <sheetData sheetId="5">
        <row r="10">
          <cell r="C10" t="str">
            <v>S001</v>
          </cell>
          <cell r="D10" t="str">
            <v>TUBO DE AÇO CARBONO, COM PONTA BISELADA P/ SOLDA E PONTA, COM ABA DE VEDAÇÃO, ESP. 3/8", ∅1200MM, L=1000MM, COM PINTURA EPÓXI</v>
          </cell>
          <cell r="E10" t="str">
            <v xml:space="preserve">UN </v>
          </cell>
          <cell r="F10">
            <v>0</v>
          </cell>
          <cell r="G10">
            <v>0</v>
          </cell>
          <cell r="H10">
            <v>13569.1</v>
          </cell>
        </row>
        <row r="11">
          <cell r="C11" t="str">
            <v>15.03.030</v>
          </cell>
          <cell r="D11" t="str">
            <v>FORNECIMENTO E MONTAGEM DE ESTRUTURA EM AÇO ASTM-A36, SEM PINTURA</v>
          </cell>
          <cell r="E11" t="str">
            <v>KG</v>
          </cell>
          <cell r="F11">
            <v>438.70593111069746</v>
          </cell>
          <cell r="G11">
            <v>25.9</v>
          </cell>
          <cell r="H11">
            <v>11362.48</v>
          </cell>
        </row>
        <row r="12">
          <cell r="C12" t="str">
            <v>33.07.130</v>
          </cell>
          <cell r="D12" t="str">
            <v>PINTURA EPÓXI BICOMPONENTE EM ESTRUTURAS METÁLICAS (INTERNO E EXTERNO)</v>
          </cell>
          <cell r="E12" t="str">
            <v>KG</v>
          </cell>
          <cell r="F12">
            <v>438.70593111069746</v>
          </cell>
          <cell r="G12">
            <v>3.71</v>
          </cell>
          <cell r="H12">
            <v>1627.59</v>
          </cell>
        </row>
        <row r="13">
          <cell r="C13">
            <v>70190124</v>
          </cell>
          <cell r="D13" t="str">
            <v>REVESTIMENTO IMPERMEABILIZANTE E ANTICORROSIVO EPOXI ISENTO
DE SOLVENTES (INTERNO)</v>
          </cell>
          <cell r="E13" t="str">
            <v>M2</v>
          </cell>
          <cell r="F13">
            <v>3.7699111843077517</v>
          </cell>
          <cell r="G13">
            <v>153.59375</v>
          </cell>
          <cell r="H13">
            <v>579.03</v>
          </cell>
        </row>
        <row r="14">
          <cell r="C14" t="str">
            <v>S002</v>
          </cell>
          <cell r="D14" t="str">
            <v>TUBO DE AÇO CARBONO, COM PONTA BISELADA P/ SOLDA E PONTA, COM ABA DE VEDAÇÃO, ESP. 5/16", ∅1000MM, L=1000MM, COM PINTURA EPÓXI</v>
          </cell>
          <cell r="E14" t="str">
            <v xml:space="preserve">UN </v>
          </cell>
          <cell r="F14">
            <v>0</v>
          </cell>
          <cell r="G14">
            <v>0</v>
          </cell>
          <cell r="H14">
            <v>9352.2900000000009</v>
          </cell>
        </row>
        <row r="15">
          <cell r="C15" t="str">
            <v>15.03.030</v>
          </cell>
          <cell r="D15" t="str">
            <v>FORNECIMENTO E MONTAGEM DE ESTRUTURA EM AÇO ASTM-A36, SEM PINTURA</v>
          </cell>
          <cell r="E15" t="str">
            <v>KG</v>
          </cell>
          <cell r="F15">
            <v>299.55340420983612</v>
          </cell>
          <cell r="G15">
            <v>25.9</v>
          </cell>
          <cell r="H15">
            <v>7758.43</v>
          </cell>
        </row>
        <row r="16">
          <cell r="C16" t="str">
            <v>33.07.130</v>
          </cell>
          <cell r="D16" t="str">
            <v>PINTURA EPÓXI BICOMPONENTE EM ESTRUTURAS METÁLICAS (INTERNO E EXTERNO)</v>
          </cell>
          <cell r="E16" t="str">
            <v>KG</v>
          </cell>
          <cell r="F16">
            <v>299.55340420983612</v>
          </cell>
          <cell r="G16">
            <v>3.71</v>
          </cell>
          <cell r="H16">
            <v>1111.3399999999999</v>
          </cell>
        </row>
        <row r="17">
          <cell r="C17">
            <v>70190124</v>
          </cell>
          <cell r="D17" t="str">
            <v>REVESTIMENTO IMPERMEABILIZANTE E ANTICORROSIVO EPOXI ISENTO
DE SOLVENTES (INTERNO)</v>
          </cell>
          <cell r="E17" t="str">
            <v>M2</v>
          </cell>
          <cell r="F17">
            <v>3.1415926535897931</v>
          </cell>
          <cell r="G17">
            <v>153.59375</v>
          </cell>
          <cell r="H17">
            <v>482.52</v>
          </cell>
        </row>
        <row r="18">
          <cell r="C18" t="str">
            <v>S003</v>
          </cell>
          <cell r="D18" t="str">
            <v>TUBO DE AÇO CARBONO, COM PONTA BISELADA P/ SOLDA E PONTA, COM ABA DE VEDAÇÃO, ESP. 1/4", ∅900MM, L=1000MM, COM PINTURA EPÓXI</v>
          </cell>
          <cell r="E18" t="str">
            <v xml:space="preserve">UN </v>
          </cell>
          <cell r="F18">
            <v>0</v>
          </cell>
          <cell r="G18">
            <v>0</v>
          </cell>
          <cell r="H18">
            <v>7010.65</v>
          </cell>
        </row>
        <row r="19">
          <cell r="C19" t="str">
            <v>15.03.030</v>
          </cell>
          <cell r="D19" t="str">
            <v>FORNECIMENTO E MONTAGEM DE ESTRUTURA EM AÇO ASTM-A36, SEM PINTURA</v>
          </cell>
          <cell r="E19" t="str">
            <v>KG</v>
          </cell>
          <cell r="F19">
            <v>222.10030623799113</v>
          </cell>
          <cell r="G19">
            <v>25.9</v>
          </cell>
          <cell r="H19">
            <v>5752.39</v>
          </cell>
        </row>
        <row r="20">
          <cell r="C20" t="str">
            <v>33.07.130</v>
          </cell>
          <cell r="D20" t="str">
            <v>PINTURA EPÓXI BICOMPONENTE EM ESTRUTURAS METÁLICAS (INTERNO E EXTERNO)</v>
          </cell>
          <cell r="E20" t="str">
            <v>KG</v>
          </cell>
          <cell r="F20">
            <v>222.10030623799113</v>
          </cell>
          <cell r="G20">
            <v>3.71</v>
          </cell>
          <cell r="H20">
            <v>823.99</v>
          </cell>
        </row>
        <row r="21">
          <cell r="C21">
            <v>70190124</v>
          </cell>
          <cell r="D21" t="str">
            <v>REVESTIMENTO IMPERMEABILIZANTE E ANTICORROSIVO EPOXI ISENTO
DE SOLVENTES (INTERNO)</v>
          </cell>
          <cell r="E21" t="str">
            <v>M2</v>
          </cell>
          <cell r="F21">
            <v>2.8274333882308138</v>
          </cell>
          <cell r="G21">
            <v>153.59375</v>
          </cell>
          <cell r="H21">
            <v>434.27</v>
          </cell>
        </row>
        <row r="22">
          <cell r="C22" t="str">
            <v>S004</v>
          </cell>
          <cell r="D22" t="str">
            <v>TUBO DE AÇO CARBONO, COM PONTA E FLANGE, COM ABA DE VEDAÇÃO, ESP. 5/16", ∅1000MM, L=500MM, COM PINTURA EPÓXI</v>
          </cell>
          <cell r="E22" t="str">
            <v xml:space="preserve">UN </v>
          </cell>
          <cell r="F22">
            <v>0</v>
          </cell>
          <cell r="G22">
            <v>0</v>
          </cell>
          <cell r="H22">
            <v>9283.8000000000011</v>
          </cell>
        </row>
        <row r="23">
          <cell r="C23" t="str">
            <v>15.03.030</v>
          </cell>
          <cell r="D23" t="str">
            <v>FORNECIMENTO E MONTAGEM DE ESTRUTURA EM AÇO ASTM-A36, SEM PINTURA</v>
          </cell>
          <cell r="E23" t="str">
            <v>KG</v>
          </cell>
          <cell r="F23">
            <v>305.38831566127499</v>
          </cell>
          <cell r="G23">
            <v>25.9</v>
          </cell>
          <cell r="H23">
            <v>7909.55</v>
          </cell>
        </row>
        <row r="24">
          <cell r="C24" t="str">
            <v>33.07.130</v>
          </cell>
          <cell r="D24" t="str">
            <v>PINTURA EPÓXI BICOMPONENTE EM ESTRUTURAS METÁLICAS (INTERNO E EXTERNO)</v>
          </cell>
          <cell r="E24" t="str">
            <v>KG</v>
          </cell>
          <cell r="F24">
            <v>305.38831566127499</v>
          </cell>
          <cell r="G24">
            <v>3.71</v>
          </cell>
          <cell r="H24">
            <v>1132.99</v>
          </cell>
        </row>
        <row r="25">
          <cell r="C25">
            <v>70190124</v>
          </cell>
          <cell r="D25" t="str">
            <v>REVESTIMENTO IMPERMEABILIZANTE E ANTICORROSIVO EPOXI ISENTO
DE SOLVENTES (INTERNO)</v>
          </cell>
          <cell r="E25" t="str">
            <v>M2</v>
          </cell>
          <cell r="F25">
            <v>1.5707963267948966</v>
          </cell>
          <cell r="G25">
            <v>153.59375</v>
          </cell>
          <cell r="H25">
            <v>241.26</v>
          </cell>
        </row>
        <row r="26">
          <cell r="C26" t="str">
            <v>S005</v>
          </cell>
          <cell r="D26" t="str">
            <v>TUBO DE AÇO CARBONO, COM PONTA E FLANGE, COM ABA DE VEDAÇÃO, ESP. 1/4", ∅900MM, L=500MM, COM PINTURA EPÓXI</v>
          </cell>
          <cell r="E26" t="str">
            <v xml:space="preserve">UN </v>
          </cell>
          <cell r="F26">
            <v>0</v>
          </cell>
          <cell r="G26">
            <v>0</v>
          </cell>
          <cell r="H26">
            <v>7110.03</v>
          </cell>
        </row>
        <row r="27">
          <cell r="C27" t="str">
            <v>15.03.030</v>
          </cell>
          <cell r="D27" t="str">
            <v>FORNECIMENTO E MONTAGEM DE ESTRUTURA EM AÇO ASTM-A36, SEM PINTURA</v>
          </cell>
          <cell r="E27" t="str">
            <v>KG</v>
          </cell>
          <cell r="F27">
            <v>232.78988374622904</v>
          </cell>
          <cell r="G27">
            <v>25.9</v>
          </cell>
          <cell r="H27">
            <v>6029.25</v>
          </cell>
        </row>
        <row r="28">
          <cell r="C28" t="str">
            <v>33.07.130</v>
          </cell>
          <cell r="D28" t="str">
            <v>PINTURA EPÓXI BICOMPONENTE EM ESTRUTURAS METÁLICAS (INTERNO E EXTERNO)</v>
          </cell>
          <cell r="E28" t="str">
            <v>KG</v>
          </cell>
          <cell r="F28">
            <v>232.78988374622904</v>
          </cell>
          <cell r="G28">
            <v>3.71</v>
          </cell>
          <cell r="H28">
            <v>863.65</v>
          </cell>
        </row>
        <row r="29">
          <cell r="C29">
            <v>70190124</v>
          </cell>
          <cell r="D29" t="str">
            <v>REVESTIMENTO IMPERMEABILIZANTE E ANTICORROSIVO EPOXI ISENTO
DE SOLVENTES (INTERNO)</v>
          </cell>
          <cell r="E29" t="str">
            <v>M2</v>
          </cell>
          <cell r="F29">
            <v>1.4137166941154069</v>
          </cell>
          <cell r="G29">
            <v>153.59375</v>
          </cell>
          <cell r="H29">
            <v>217.13</v>
          </cell>
        </row>
        <row r="30">
          <cell r="C30" t="str">
            <v>S006</v>
          </cell>
          <cell r="D30" t="str">
            <v>FLANGE CEGO, ∅1000MM EM AÇO CARBONO, COM PINTURA EPÓXI, FLANGES CONFORME ISO 2531, PN-10</v>
          </cell>
          <cell r="E30" t="str">
            <v xml:space="preserve">UN </v>
          </cell>
          <cell r="F30">
            <v>0</v>
          </cell>
          <cell r="G30">
            <v>0</v>
          </cell>
          <cell r="H30">
            <v>11444.419999999998</v>
          </cell>
        </row>
        <row r="31">
          <cell r="C31" t="str">
            <v>15.03.030</v>
          </cell>
          <cell r="D31" t="str">
            <v>FORNECIMENTO E MONTAGEM DE ESTRUTURA EM AÇO ASTM-A36, SEM PINTURA</v>
          </cell>
          <cell r="E31" t="str">
            <v>KG</v>
          </cell>
          <cell r="F31">
            <v>382.4314654798772</v>
          </cell>
          <cell r="G31">
            <v>25.9</v>
          </cell>
          <cell r="H31">
            <v>9904.9699999999993</v>
          </cell>
        </row>
        <row r="32">
          <cell r="C32" t="str">
            <v>33.07.130</v>
          </cell>
          <cell r="D32" t="str">
            <v>PINTURA EPÓXI BICOMPONENTE EM ESTRUTURAS METÁLICAS (INTERNO E EXTERNO)</v>
          </cell>
          <cell r="E32" t="str">
            <v>KG</v>
          </cell>
          <cell r="F32">
            <v>382.4314654798772</v>
          </cell>
          <cell r="G32">
            <v>3.71</v>
          </cell>
          <cell r="H32">
            <v>1418.82</v>
          </cell>
        </row>
        <row r="33">
          <cell r="C33">
            <v>70190124</v>
          </cell>
          <cell r="D33" t="str">
            <v>REVESTIMENTO IMPERMEABILIZANTE E ANTICORROSIVO EPOXI ISENTO
DE SOLVENTES (INTERNO)</v>
          </cell>
          <cell r="E33" t="str">
            <v>M2</v>
          </cell>
          <cell r="F33">
            <v>0.78539816339744828</v>
          </cell>
          <cell r="G33">
            <v>153.59375</v>
          </cell>
          <cell r="H33">
            <v>120.63</v>
          </cell>
        </row>
        <row r="34">
          <cell r="C34" t="str">
            <v>S007</v>
          </cell>
          <cell r="D34" t="str">
            <v>FLANGE CEGO, ∅900MM EM AÇO CARBONO, COM PINTURA EPÓXI, FLANGES CONFORME ISO 2531, PN-10</v>
          </cell>
          <cell r="E34" t="str">
            <v xml:space="preserve">UN </v>
          </cell>
          <cell r="F34">
            <v>0</v>
          </cell>
          <cell r="G34">
            <v>0</v>
          </cell>
          <cell r="H34">
            <v>8722.15</v>
          </cell>
        </row>
        <row r="35">
          <cell r="C35" t="str">
            <v>15.03.030</v>
          </cell>
          <cell r="D35" t="str">
            <v>FORNECIMENTO E MONTAGEM DE ESTRUTURA EM AÇO ASTM-A36, SEM PINTURA</v>
          </cell>
          <cell r="E35" t="str">
            <v>KG</v>
          </cell>
          <cell r="F35">
            <v>291.26806423306516</v>
          </cell>
          <cell r="G35">
            <v>25.9</v>
          </cell>
          <cell r="H35">
            <v>7543.84</v>
          </cell>
        </row>
        <row r="36">
          <cell r="C36" t="str">
            <v>33.07.130</v>
          </cell>
          <cell r="D36" t="str">
            <v>PINTURA EPÓXI BICOMPONENTE EM ESTRUTURAS METÁLICAS (INTERNO E EXTERNO)</v>
          </cell>
          <cell r="E36" t="str">
            <v>KG</v>
          </cell>
          <cell r="F36">
            <v>291.26806423306516</v>
          </cell>
          <cell r="G36">
            <v>3.71</v>
          </cell>
          <cell r="H36">
            <v>1080.5999999999999</v>
          </cell>
        </row>
        <row r="37">
          <cell r="C37">
            <v>70190124</v>
          </cell>
          <cell r="D37" t="str">
            <v>REVESTIMENTO IMPERMEABILIZANTE E ANTICORROSIVO EPOXI ISENTO
DE SOLVENTES (INTERNO)</v>
          </cell>
          <cell r="E37" t="str">
            <v>M2</v>
          </cell>
          <cell r="F37">
            <v>0.63617251235193317</v>
          </cell>
          <cell r="G37">
            <v>153.59375</v>
          </cell>
          <cell r="H37">
            <v>97.71</v>
          </cell>
        </row>
        <row r="38">
          <cell r="C38" t="str">
            <v>S008</v>
          </cell>
          <cell r="D38" t="str">
            <v>TUBO EM AÇO CARBONO, SOLDADO, ESP. 1/4", ∅900, PINTURA EPÓXI</v>
          </cell>
          <cell r="E38" t="str">
            <v>M</v>
          </cell>
          <cell r="F38">
            <v>0</v>
          </cell>
          <cell r="G38">
            <v>0</v>
          </cell>
          <cell r="H38">
            <v>4607.5</v>
          </cell>
        </row>
        <row r="39">
          <cell r="C39" t="str">
            <v>15.03.030</v>
          </cell>
          <cell r="D39" t="str">
            <v>FORNECIMENTO E MONTAGEM DE ESTRUTURA EM AÇO ASTM-A36, SEM PINTURA</v>
          </cell>
          <cell r="E39" t="str">
            <v>KG</v>
          </cell>
          <cell r="F39">
            <v>140.94048581983549</v>
          </cell>
          <cell r="G39">
            <v>25.9</v>
          </cell>
          <cell r="H39">
            <v>3650.35</v>
          </cell>
        </row>
        <row r="40">
          <cell r="C40" t="str">
            <v>33.07.130</v>
          </cell>
          <cell r="D40" t="str">
            <v>PINTURA EPÓXI BICOMPONENTE EM ESTRUTURAS METÁLICAS (INTERNO E EXTERNO)</v>
          </cell>
          <cell r="E40" t="str">
            <v>KG</v>
          </cell>
          <cell r="F40">
            <v>140.94048581983549</v>
          </cell>
          <cell r="G40">
            <v>3.71</v>
          </cell>
          <cell r="H40">
            <v>522.88</v>
          </cell>
        </row>
        <row r="41">
          <cell r="C41">
            <v>70190124</v>
          </cell>
          <cell r="D41" t="str">
            <v>REVESTIMENTO IMPERMEABILIZANTE E ANTICORROSIVO EPOXI ISENTO
DE SOLVENTES (INTERNO)</v>
          </cell>
          <cell r="E41" t="str">
            <v>M2</v>
          </cell>
          <cell r="F41">
            <v>2.8274333882308138</v>
          </cell>
          <cell r="G41">
            <v>153.59375</v>
          </cell>
          <cell r="H41">
            <v>434.27</v>
          </cell>
        </row>
        <row r="42">
          <cell r="C42" t="str">
            <v>S009</v>
          </cell>
          <cell r="D42" t="str">
            <v>TUBO EM AÇO CARBONO, SOLDADO, ESP. 5/16", ∅1000, PINTURA EPÓXI</v>
          </cell>
          <cell r="E42" t="str">
            <v>M</v>
          </cell>
          <cell r="F42">
            <v>0</v>
          </cell>
          <cell r="G42">
            <v>0</v>
          </cell>
          <cell r="H42">
            <v>6280.51</v>
          </cell>
        </row>
        <row r="43">
          <cell r="C43" t="str">
            <v>15.03.030</v>
          </cell>
          <cell r="D43" t="str">
            <v>FORNECIMENTO E MONTAGEM DE ESTRUTURA EM AÇO ASTM-A36, SEM PINTURA</v>
          </cell>
          <cell r="E43" t="str">
            <v>KG</v>
          </cell>
          <cell r="F43">
            <v>195.81232850559817</v>
          </cell>
          <cell r="G43">
            <v>25.9</v>
          </cell>
          <cell r="H43">
            <v>5071.53</v>
          </cell>
        </row>
        <row r="44">
          <cell r="C44" t="str">
            <v>33.07.130</v>
          </cell>
          <cell r="D44" t="str">
            <v>PINTURA EPÓXI BICOMPONENTE EM ESTRUTURAS METÁLICAS (INTERNO E EXTERNO)</v>
          </cell>
          <cell r="E44" t="str">
            <v>KG</v>
          </cell>
          <cell r="F44">
            <v>195.81232850559817</v>
          </cell>
          <cell r="G44">
            <v>3.71</v>
          </cell>
          <cell r="H44">
            <v>726.46</v>
          </cell>
        </row>
        <row r="45">
          <cell r="C45">
            <v>70190124</v>
          </cell>
          <cell r="D45" t="str">
            <v>REVESTIMENTO IMPERMEABILIZANTE E ANTICORROSIVO EPOXI ISENTO
DE SOLVENTES (INTERNO)</v>
          </cell>
          <cell r="E45" t="str">
            <v>M2</v>
          </cell>
          <cell r="F45">
            <v>3.1415926535897931</v>
          </cell>
          <cell r="G45">
            <v>153.59375</v>
          </cell>
          <cell r="H45">
            <v>482.52</v>
          </cell>
        </row>
        <row r="46">
          <cell r="C46" t="str">
            <v>S010</v>
          </cell>
          <cell r="D46" t="str">
            <v>TUBO EM AÇO CARBONO, SOLDADO, ESP. 3/8", ∅1200, PINTURA EPÓXI</v>
          </cell>
          <cell r="E46" t="str">
            <v>M</v>
          </cell>
          <cell r="F46">
            <v>0</v>
          </cell>
          <cell r="G46">
            <v>0</v>
          </cell>
          <cell r="H46">
            <v>8929.8900000000012</v>
          </cell>
        </row>
        <row r="47">
          <cell r="C47" t="str">
            <v>15.03.030</v>
          </cell>
          <cell r="D47" t="str">
            <v>FORNECIMENTO E MONTAGEM DE ESTRUTURA EM AÇO ASTM-A36, SEM PINTURA</v>
          </cell>
          <cell r="E47" t="str">
            <v>KG</v>
          </cell>
          <cell r="F47">
            <v>282.02894065365507</v>
          </cell>
          <cell r="G47">
            <v>25.9</v>
          </cell>
          <cell r="H47">
            <v>7304.54</v>
          </cell>
        </row>
        <row r="48">
          <cell r="C48" t="str">
            <v>33.07.130</v>
          </cell>
          <cell r="D48" t="str">
            <v>PINTURA EPÓXI BICOMPONENTE EM ESTRUTURAS METÁLICAS (INTERNO E EXTERNO)</v>
          </cell>
          <cell r="E48" t="str">
            <v>KG</v>
          </cell>
          <cell r="F48">
            <v>282.02894065365507</v>
          </cell>
          <cell r="G48">
            <v>3.71</v>
          </cell>
          <cell r="H48">
            <v>1046.32</v>
          </cell>
        </row>
        <row r="49">
          <cell r="C49">
            <v>70190124</v>
          </cell>
          <cell r="D49" t="str">
            <v>REVESTIMENTO IMPERMEABILIZANTE E ANTICORROSIVO EPOXI ISENTO
DE SOLVENTES (INTERNO)</v>
          </cell>
          <cell r="E49" t="str">
            <v>M2</v>
          </cell>
          <cell r="F49">
            <v>3.7699111843077517</v>
          </cell>
          <cell r="G49">
            <v>153.59375</v>
          </cell>
          <cell r="H49">
            <v>579.03</v>
          </cell>
        </row>
        <row r="50">
          <cell r="C50" t="str">
            <v>S011</v>
          </cell>
          <cell r="D50" t="str">
            <v>CURVA SEGMENTADA EM AÇO CARBONO, APROX. 90°, 7 GOMOS, COM PONTAS BISELADAS PARA SOLDA, ESP. 5/16", ∅1000, PINTURA EPÓXI</v>
          </cell>
          <cell r="E50" t="str">
            <v xml:space="preserve">UN </v>
          </cell>
          <cell r="F50">
            <v>0</v>
          </cell>
          <cell r="G50">
            <v>0</v>
          </cell>
          <cell r="H50">
            <v>15588.27</v>
          </cell>
        </row>
        <row r="51">
          <cell r="C51" t="str">
            <v>15.03.030</v>
          </cell>
          <cell r="D51" t="str">
            <v>FORNECIMENTO E MONTAGEM DE ESTRUTURA EM AÇO ASTM-A36, SEM PINTURA</v>
          </cell>
          <cell r="E51" t="str">
            <v>KG</v>
          </cell>
          <cell r="F51">
            <v>486.00619935089475</v>
          </cell>
          <cell r="G51">
            <v>25.9</v>
          </cell>
          <cell r="H51">
            <v>12587.56</v>
          </cell>
        </row>
        <row r="52">
          <cell r="C52" t="str">
            <v>33.07.130</v>
          </cell>
          <cell r="D52" t="str">
            <v>PINTURA EPÓXI BICOMPONENTE EM ESTRUTURAS METÁLICAS (INTERNO E EXTERNO)</v>
          </cell>
          <cell r="E52" t="str">
            <v>KG</v>
          </cell>
          <cell r="F52">
            <v>486.00619935089475</v>
          </cell>
          <cell r="G52">
            <v>3.71</v>
          </cell>
          <cell r="H52">
            <v>1803.08</v>
          </cell>
        </row>
        <row r="53">
          <cell r="C53">
            <v>70190124</v>
          </cell>
          <cell r="D53" t="str">
            <v>REVESTIMENTO IMPERMEABILIZANTE E ANTICORROSIVO EPOXI ISENTO
DE SOLVENTES (INTERNO)</v>
          </cell>
          <cell r="E53" t="str">
            <v>M2</v>
          </cell>
          <cell r="F53">
            <v>7.7974329662098674</v>
          </cell>
          <cell r="G53">
            <v>153.59375</v>
          </cell>
          <cell r="H53">
            <v>1197.6300000000001</v>
          </cell>
        </row>
        <row r="54">
          <cell r="C54" t="str">
            <v>S012</v>
          </cell>
          <cell r="D54" t="str">
            <v>CURVA SEGMENTADA EM AÇO CARBONO, APROX. 90°, 7 GOMOS, COM PONTAS BISELADAS PARA SOLDA, ESP. 3/8", ∅1200, PINTURA EPÓXI</v>
          </cell>
          <cell r="E54" t="str">
            <v xml:space="preserve">UN </v>
          </cell>
          <cell r="F54">
            <v>0</v>
          </cell>
          <cell r="G54">
            <v>0</v>
          </cell>
          <cell r="H54">
            <v>26584.329999999998</v>
          </cell>
        </row>
        <row r="55">
          <cell r="C55" t="str">
            <v>15.03.030</v>
          </cell>
          <cell r="D55" t="str">
            <v>FORNECIMENTO E MONTAGEM DE ESTRUTURA EM AÇO ASTM-A36, SEM PINTURA</v>
          </cell>
          <cell r="E55" t="str">
            <v>KG</v>
          </cell>
          <cell r="F55">
            <v>839.60015632593115</v>
          </cell>
          <cell r="G55">
            <v>25.9</v>
          </cell>
          <cell r="H55">
            <v>21745.64</v>
          </cell>
        </row>
        <row r="56">
          <cell r="C56" t="str">
            <v>33.07.130</v>
          </cell>
          <cell r="D56" t="str">
            <v>PINTURA EPÓXI BICOMPONENTE EM ESTRUTURAS METÁLICAS (INTERNO E EXTERNO)</v>
          </cell>
          <cell r="E56" t="str">
            <v>KG</v>
          </cell>
          <cell r="F56">
            <v>839.60015632593115</v>
          </cell>
          <cell r="G56">
            <v>3.71</v>
          </cell>
          <cell r="H56">
            <v>3114.91</v>
          </cell>
        </row>
        <row r="57">
          <cell r="C57">
            <v>70190124</v>
          </cell>
          <cell r="D57" t="str">
            <v>REVESTIMENTO IMPERMEABILIZANTE E ANTICORROSIVO EPOXI ISENTO
DE SOLVENTES (INTERNO)</v>
          </cell>
          <cell r="E57" t="str">
            <v>M2</v>
          </cell>
          <cell r="F57">
            <v>11.223025595684176</v>
          </cell>
          <cell r="G57">
            <v>153.59375</v>
          </cell>
          <cell r="H57">
            <v>1723.78</v>
          </cell>
        </row>
        <row r="58">
          <cell r="C58" t="str">
            <v>S013</v>
          </cell>
          <cell r="D58" t="str">
            <v>CURVA SEGMENTADA EM AÇO CARBONO, APROX. 45°, 3 GOMOS, COM PONTAS BISELADAS PARA SOLDA, ESP. 1/4", ∅900, PINTURA EPÓXI</v>
          </cell>
          <cell r="E58" t="str">
            <v xml:space="preserve">UN </v>
          </cell>
          <cell r="F58">
            <v>0</v>
          </cell>
          <cell r="G58">
            <v>0</v>
          </cell>
          <cell r="H58">
            <v>3750.52</v>
          </cell>
        </row>
        <row r="59">
          <cell r="C59" t="str">
            <v>15.03.030</v>
          </cell>
          <cell r="D59" t="str">
            <v>FORNECIMENTO E MONTAGEM DE ESTRUTURA EM AÇO ASTM-A36, SEM PINTURA</v>
          </cell>
          <cell r="E59" t="str">
            <v>KG</v>
          </cell>
          <cell r="F59">
            <v>114.72555545734606</v>
          </cell>
          <cell r="G59">
            <v>25.9</v>
          </cell>
          <cell r="H59">
            <v>2971.39</v>
          </cell>
        </row>
        <row r="60">
          <cell r="C60" t="str">
            <v>33.07.130</v>
          </cell>
          <cell r="D60" t="str">
            <v>PINTURA EPÓXI BICOMPONENTE EM ESTRUTURAS METÁLICAS (INTERNO E EXTERNO)</v>
          </cell>
          <cell r="E60" t="str">
            <v>KG</v>
          </cell>
          <cell r="F60">
            <v>114.72555545734606</v>
          </cell>
          <cell r="G60">
            <v>3.71</v>
          </cell>
          <cell r="H60">
            <v>425.63</v>
          </cell>
        </row>
        <row r="61">
          <cell r="C61">
            <v>70190124</v>
          </cell>
          <cell r="D61" t="str">
            <v>REVESTIMENTO IMPERMEABILIZANTE E ANTICORROSIVO EPOXI ISENTO
DE SOLVENTES (INTERNO)</v>
          </cell>
          <cell r="E61" t="str">
            <v>M2</v>
          </cell>
          <cell r="F61">
            <v>2.3015307780198824</v>
          </cell>
          <cell r="G61">
            <v>153.59375</v>
          </cell>
          <cell r="H61">
            <v>353.5</v>
          </cell>
        </row>
        <row r="62">
          <cell r="C62" t="str">
            <v>S014</v>
          </cell>
          <cell r="D62" t="str">
            <v>CURVA SEGMENTADA EM AÇO CARBONO, APROX. 45°, 3 GOMOS, COM PONTAS BISELADAS PARA SOLDA, ESP. 3/8", ∅1200, PINTURA EPÓXI</v>
          </cell>
          <cell r="E62" t="str">
            <v xml:space="preserve">UN </v>
          </cell>
          <cell r="F62">
            <v>0</v>
          </cell>
          <cell r="G62">
            <v>0</v>
          </cell>
          <cell r="H62">
            <v>9671.08</v>
          </cell>
        </row>
        <row r="63">
          <cell r="C63" t="str">
            <v>15.03.030</v>
          </cell>
          <cell r="D63" t="str">
            <v>FORNECIMENTO E MONTAGEM DE ESTRUTURA EM AÇO ASTM-A36, SEM PINTURA</v>
          </cell>
          <cell r="E63" t="str">
            <v>KG</v>
          </cell>
          <cell r="F63">
            <v>305.43734272790846</v>
          </cell>
          <cell r="G63">
            <v>25.9</v>
          </cell>
          <cell r="H63">
            <v>7910.82</v>
          </cell>
        </row>
        <row r="64">
          <cell r="C64" t="str">
            <v>33.07.130</v>
          </cell>
          <cell r="D64" t="str">
            <v>PINTURA EPÓXI BICOMPONENTE EM ESTRUTURAS METÁLICAS (INTERNO E EXTERNO)</v>
          </cell>
          <cell r="E64" t="str">
            <v>KG</v>
          </cell>
          <cell r="F64">
            <v>305.43734272790846</v>
          </cell>
          <cell r="G64">
            <v>3.71</v>
          </cell>
          <cell r="H64">
            <v>1133.17</v>
          </cell>
        </row>
        <row r="65">
          <cell r="C65">
            <v>70190124</v>
          </cell>
          <cell r="D65" t="str">
            <v>REVESTIMENTO IMPERMEABILIZANTE E ANTICORROSIVO EPOXI ISENTO
DE SOLVENTES (INTERNO)</v>
          </cell>
          <cell r="E65" t="str">
            <v>M2</v>
          </cell>
          <cell r="F65">
            <v>4.0828138126052949</v>
          </cell>
          <cell r="G65">
            <v>153.59375</v>
          </cell>
          <cell r="H65">
            <v>627.09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showOutlineSymbols="0" showWhiteSpace="0" zoomScale="90" zoomScaleNormal="90" workbookViewId="0">
      <selection activeCell="D2" sqref="D2:J2"/>
    </sheetView>
  </sheetViews>
  <sheetFormatPr defaultRowHeight="14.25"/>
  <cols>
    <col min="1" max="2" width="10" bestFit="1" customWidth="1"/>
    <col min="3" max="3" width="10.5" bestFit="1" customWidth="1"/>
    <col min="4" max="4" width="60" bestFit="1" customWidth="1"/>
    <col min="5" max="5" width="8" bestFit="1" customWidth="1"/>
    <col min="6" max="6" width="7.875" bestFit="1" customWidth="1"/>
    <col min="7" max="7" width="11.625" customWidth="1"/>
    <col min="8" max="8" width="10.75" customWidth="1"/>
    <col min="9" max="9" width="11.375" customWidth="1"/>
    <col min="10" max="10" width="10.25" style="3" customWidth="1"/>
    <col min="12" max="12" width="11.375" bestFit="1" customWidth="1"/>
  </cols>
  <sheetData>
    <row r="1" spans="1:12" ht="48" customHeight="1">
      <c r="A1" s="144"/>
      <c r="B1" s="145"/>
      <c r="C1" s="146"/>
      <c r="D1" s="150" t="s">
        <v>128</v>
      </c>
      <c r="E1" s="150"/>
      <c r="F1" s="150"/>
      <c r="G1" s="150"/>
      <c r="H1" s="150"/>
      <c r="I1" s="150"/>
      <c r="J1" s="151"/>
    </row>
    <row r="2" spans="1:12" ht="42.75" customHeight="1">
      <c r="A2" s="147"/>
      <c r="B2" s="148"/>
      <c r="C2" s="149"/>
      <c r="D2" s="152" t="s">
        <v>248</v>
      </c>
      <c r="E2" s="152"/>
      <c r="F2" s="152"/>
      <c r="G2" s="152"/>
      <c r="H2" s="152"/>
      <c r="I2" s="152"/>
      <c r="J2" s="153"/>
    </row>
    <row r="3" spans="1:12" ht="32.25" customHeight="1">
      <c r="A3" s="9" t="s">
        <v>129</v>
      </c>
      <c r="B3" s="143" t="s">
        <v>148</v>
      </c>
      <c r="C3" s="143"/>
      <c r="D3" s="143"/>
      <c r="E3" s="143"/>
      <c r="F3" s="143"/>
      <c r="G3" s="141" t="s">
        <v>146</v>
      </c>
      <c r="H3" s="141"/>
      <c r="I3" s="10" t="s">
        <v>147</v>
      </c>
      <c r="J3" s="11">
        <v>0.25</v>
      </c>
    </row>
    <row r="4" spans="1:12" ht="28.5" customHeight="1">
      <c r="A4" s="9" t="s">
        <v>130</v>
      </c>
      <c r="B4" s="142" t="s">
        <v>212</v>
      </c>
      <c r="C4" s="142"/>
      <c r="D4" s="142"/>
      <c r="E4" s="142"/>
      <c r="F4" s="142"/>
      <c r="G4" s="141"/>
      <c r="H4" s="141"/>
      <c r="I4" s="7" t="s">
        <v>150</v>
      </c>
      <c r="J4" s="8">
        <v>0.16</v>
      </c>
    </row>
    <row r="5" spans="1:12" ht="30" customHeight="1">
      <c r="A5" s="4" t="s">
        <v>131</v>
      </c>
      <c r="B5" s="4" t="s">
        <v>132</v>
      </c>
      <c r="C5" s="4" t="s">
        <v>139</v>
      </c>
      <c r="D5" s="4" t="s">
        <v>133</v>
      </c>
      <c r="E5" s="4" t="s">
        <v>134</v>
      </c>
      <c r="F5" s="5" t="s">
        <v>135</v>
      </c>
      <c r="G5" s="6" t="s">
        <v>136</v>
      </c>
      <c r="H5" s="6" t="s">
        <v>137</v>
      </c>
      <c r="I5" s="4" t="s">
        <v>138</v>
      </c>
      <c r="J5" s="4" t="s">
        <v>140</v>
      </c>
    </row>
    <row r="6" spans="1:12" ht="24" customHeight="1">
      <c r="A6" s="94" t="s">
        <v>176</v>
      </c>
      <c r="B6" s="95"/>
      <c r="C6" s="95"/>
      <c r="D6" s="95" t="s">
        <v>2</v>
      </c>
      <c r="E6" s="95"/>
      <c r="F6" s="96"/>
      <c r="G6" s="95"/>
      <c r="H6" s="95"/>
      <c r="I6" s="97">
        <f>SUM(I7:I10)</f>
        <v>0</v>
      </c>
      <c r="J6" s="98" t="e">
        <f>SUM(J7:J10)</f>
        <v>#DIV/0!</v>
      </c>
    </row>
    <row r="7" spans="1:12" ht="39" customHeight="1">
      <c r="A7" s="99" t="s">
        <v>3</v>
      </c>
      <c r="B7" s="100" t="s">
        <v>4</v>
      </c>
      <c r="C7" s="101" t="s">
        <v>5</v>
      </c>
      <c r="D7" s="114" t="s">
        <v>6</v>
      </c>
      <c r="E7" s="102" t="s">
        <v>7</v>
      </c>
      <c r="F7" s="103">
        <v>6</v>
      </c>
      <c r="G7" s="103"/>
      <c r="H7" s="103">
        <f>TRUNC((G7*$J$3)+G7,2)</f>
        <v>0</v>
      </c>
      <c r="I7" s="103">
        <f>TRUNC(F7*H7,2)</f>
        <v>0</v>
      </c>
      <c r="J7" s="104" t="e">
        <f>I7/$I$59</f>
        <v>#DIV/0!</v>
      </c>
    </row>
    <row r="8" spans="1:12" ht="24" customHeight="1">
      <c r="A8" s="99" t="s">
        <v>8</v>
      </c>
      <c r="B8" s="100" t="s">
        <v>229</v>
      </c>
      <c r="C8" s="101" t="s">
        <v>152</v>
      </c>
      <c r="D8" s="114" t="s">
        <v>230</v>
      </c>
      <c r="E8" s="102" t="s">
        <v>9</v>
      </c>
      <c r="F8" s="103">
        <v>10</v>
      </c>
      <c r="G8" s="103"/>
      <c r="H8" s="103">
        <f t="shared" ref="H8:H10" si="0">TRUNC((G8*$J$3)+G8,2)</f>
        <v>0</v>
      </c>
      <c r="I8" s="103">
        <f t="shared" ref="I8:I10" si="1">TRUNC(F8*H8,2)</f>
        <v>0</v>
      </c>
      <c r="J8" s="104" t="e">
        <f t="shared" ref="J8:J10" si="2">I8/$I$59</f>
        <v>#DIV/0!</v>
      </c>
    </row>
    <row r="9" spans="1:12" ht="24" customHeight="1">
      <c r="A9" s="99" t="s">
        <v>10</v>
      </c>
      <c r="B9" s="133" t="s">
        <v>11</v>
      </c>
      <c r="C9" s="134" t="s">
        <v>151</v>
      </c>
      <c r="D9" s="114" t="s">
        <v>12</v>
      </c>
      <c r="E9" s="102" t="s">
        <v>13</v>
      </c>
      <c r="F9" s="103">
        <v>787</v>
      </c>
      <c r="G9" s="103"/>
      <c r="H9" s="103">
        <f t="shared" si="0"/>
        <v>0</v>
      </c>
      <c r="I9" s="103">
        <f t="shared" si="1"/>
        <v>0</v>
      </c>
      <c r="J9" s="104" t="e">
        <f t="shared" si="2"/>
        <v>#DIV/0!</v>
      </c>
      <c r="L9" s="3"/>
    </row>
    <row r="10" spans="1:12" ht="24" customHeight="1">
      <c r="A10" s="99" t="s">
        <v>14</v>
      </c>
      <c r="B10" s="133" t="s">
        <v>15</v>
      </c>
      <c r="C10" s="134" t="s">
        <v>151</v>
      </c>
      <c r="D10" s="114" t="s">
        <v>16</v>
      </c>
      <c r="E10" s="102" t="s">
        <v>13</v>
      </c>
      <c r="F10" s="103">
        <v>525</v>
      </c>
      <c r="G10" s="103"/>
      <c r="H10" s="103">
        <f t="shared" si="0"/>
        <v>0</v>
      </c>
      <c r="I10" s="103">
        <f t="shared" si="1"/>
        <v>0</v>
      </c>
      <c r="J10" s="104" t="e">
        <f t="shared" si="2"/>
        <v>#DIV/0!</v>
      </c>
      <c r="L10" s="3"/>
    </row>
    <row r="11" spans="1:12" ht="24" customHeight="1">
      <c r="A11" s="94" t="s">
        <v>17</v>
      </c>
      <c r="B11" s="95"/>
      <c r="C11" s="95"/>
      <c r="D11" s="115" t="s">
        <v>18</v>
      </c>
      <c r="E11" s="95"/>
      <c r="F11" s="105"/>
      <c r="G11" s="95"/>
      <c r="H11" s="95"/>
      <c r="I11" s="97">
        <f>SUM(I12:I13)</f>
        <v>0</v>
      </c>
      <c r="J11" s="98" t="e">
        <f>SUM(J12:J13)</f>
        <v>#DIV/0!</v>
      </c>
      <c r="L11" s="3"/>
    </row>
    <row r="12" spans="1:12" ht="28.5">
      <c r="A12" s="99" t="s">
        <v>19</v>
      </c>
      <c r="B12" s="100" t="s">
        <v>231</v>
      </c>
      <c r="C12" s="101" t="s">
        <v>152</v>
      </c>
      <c r="D12" s="114" t="s">
        <v>20</v>
      </c>
      <c r="E12" s="102" t="s">
        <v>13</v>
      </c>
      <c r="F12" s="103">
        <v>1574</v>
      </c>
      <c r="G12" s="103"/>
      <c r="H12" s="103">
        <f>TRUNC((G12*$K$2)+G12,2)</f>
        <v>0</v>
      </c>
      <c r="I12" s="103">
        <f t="shared" ref="I12:I13" si="3">TRUNC(F12*H12,2)</f>
        <v>0</v>
      </c>
      <c r="J12" s="106" t="e">
        <f t="shared" ref="J12:J13" si="4">I12/$I$59</f>
        <v>#DIV/0!</v>
      </c>
      <c r="L12" s="3"/>
    </row>
    <row r="13" spans="1:12" ht="28.5">
      <c r="A13" s="99" t="s">
        <v>21</v>
      </c>
      <c r="B13" s="100" t="s">
        <v>231</v>
      </c>
      <c r="C13" s="101" t="s">
        <v>152</v>
      </c>
      <c r="D13" s="114" t="s">
        <v>22</v>
      </c>
      <c r="E13" s="102" t="s">
        <v>13</v>
      </c>
      <c r="F13" s="103">
        <v>1574</v>
      </c>
      <c r="G13" s="103"/>
      <c r="H13" s="103">
        <f>TRUNC((G13*$K$2)+G13,2)</f>
        <v>0</v>
      </c>
      <c r="I13" s="103">
        <f t="shared" si="3"/>
        <v>0</v>
      </c>
      <c r="J13" s="106" t="e">
        <f t="shared" si="4"/>
        <v>#DIV/0!</v>
      </c>
      <c r="L13" s="3"/>
    </row>
    <row r="14" spans="1:12" ht="24" customHeight="1">
      <c r="A14" s="94" t="s">
        <v>23</v>
      </c>
      <c r="B14" s="95"/>
      <c r="C14" s="95"/>
      <c r="D14" s="115" t="s">
        <v>24</v>
      </c>
      <c r="E14" s="95"/>
      <c r="F14" s="105"/>
      <c r="G14" s="95"/>
      <c r="H14" s="95"/>
      <c r="I14" s="97">
        <f>SUM(I15:I26)</f>
        <v>0</v>
      </c>
      <c r="J14" s="98" t="e">
        <f>SUM(J15:J26)</f>
        <v>#DIV/0!</v>
      </c>
      <c r="L14" s="3"/>
    </row>
    <row r="15" spans="1:12" ht="26.1" customHeight="1">
      <c r="A15" s="99" t="s">
        <v>25</v>
      </c>
      <c r="B15" s="100" t="s">
        <v>153</v>
      </c>
      <c r="C15" s="101" t="s">
        <v>152</v>
      </c>
      <c r="D15" s="114" t="s">
        <v>26</v>
      </c>
      <c r="E15" s="102" t="s">
        <v>27</v>
      </c>
      <c r="F15" s="103">
        <v>138.04</v>
      </c>
      <c r="G15" s="103"/>
      <c r="H15" s="103">
        <f t="shared" ref="H15:H25" si="5">TRUNC((G15*$J$3)+G15,2)</f>
        <v>0</v>
      </c>
      <c r="I15" s="103">
        <f t="shared" ref="I15:I25" si="6">TRUNC(F15*H15,2)</f>
        <v>0</v>
      </c>
      <c r="J15" s="106" t="e">
        <f t="shared" ref="J15:J25" si="7">I15/$I$59</f>
        <v>#DIV/0!</v>
      </c>
      <c r="L15" s="3"/>
    </row>
    <row r="16" spans="1:12" ht="57">
      <c r="A16" s="99" t="s">
        <v>28</v>
      </c>
      <c r="B16" s="100" t="s">
        <v>29</v>
      </c>
      <c r="C16" s="101" t="s">
        <v>30</v>
      </c>
      <c r="D16" s="114" t="s">
        <v>31</v>
      </c>
      <c r="E16" s="102" t="s">
        <v>27</v>
      </c>
      <c r="F16" s="103">
        <v>179.45</v>
      </c>
      <c r="G16" s="103"/>
      <c r="H16" s="103">
        <f t="shared" si="5"/>
        <v>0</v>
      </c>
      <c r="I16" s="103">
        <f t="shared" si="6"/>
        <v>0</v>
      </c>
      <c r="J16" s="106" t="e">
        <f t="shared" si="7"/>
        <v>#DIV/0!</v>
      </c>
      <c r="L16" s="3"/>
    </row>
    <row r="17" spans="1:12" ht="42.75">
      <c r="A17" s="99" t="s">
        <v>32</v>
      </c>
      <c r="B17" s="100" t="s">
        <v>33</v>
      </c>
      <c r="C17" s="101" t="s">
        <v>30</v>
      </c>
      <c r="D17" s="114" t="s">
        <v>34</v>
      </c>
      <c r="E17" s="102" t="s">
        <v>35</v>
      </c>
      <c r="F17" s="103">
        <v>897.25</v>
      </c>
      <c r="G17" s="103"/>
      <c r="H17" s="103">
        <f t="shared" si="5"/>
        <v>0</v>
      </c>
      <c r="I17" s="103">
        <f t="shared" si="6"/>
        <v>0</v>
      </c>
      <c r="J17" s="106" t="e">
        <f t="shared" si="7"/>
        <v>#DIV/0!</v>
      </c>
      <c r="L17" s="3"/>
    </row>
    <row r="18" spans="1:12" ht="71.25">
      <c r="A18" s="99" t="s">
        <v>36</v>
      </c>
      <c r="B18" s="100" t="s">
        <v>37</v>
      </c>
      <c r="C18" s="101" t="s">
        <v>30</v>
      </c>
      <c r="D18" s="114" t="s">
        <v>38</v>
      </c>
      <c r="E18" s="102" t="s">
        <v>27</v>
      </c>
      <c r="F18" s="103">
        <v>4762.25</v>
      </c>
      <c r="G18" s="103"/>
      <c r="H18" s="103">
        <f t="shared" si="5"/>
        <v>0</v>
      </c>
      <c r="I18" s="103">
        <f t="shared" si="6"/>
        <v>0</v>
      </c>
      <c r="J18" s="106" t="e">
        <f t="shared" si="7"/>
        <v>#DIV/0!</v>
      </c>
      <c r="L18" s="3"/>
    </row>
    <row r="19" spans="1:12" ht="71.25">
      <c r="A19" s="99" t="s">
        <v>39</v>
      </c>
      <c r="B19" s="100">
        <v>90094</v>
      </c>
      <c r="C19" s="101" t="s">
        <v>30</v>
      </c>
      <c r="D19" s="114" t="s">
        <v>41</v>
      </c>
      <c r="E19" s="102" t="s">
        <v>27</v>
      </c>
      <c r="F19" s="103">
        <v>329.4</v>
      </c>
      <c r="G19" s="103"/>
      <c r="H19" s="103">
        <f t="shared" si="5"/>
        <v>0</v>
      </c>
      <c r="I19" s="103">
        <f t="shared" si="6"/>
        <v>0</v>
      </c>
      <c r="J19" s="106" t="e">
        <f t="shared" si="7"/>
        <v>#DIV/0!</v>
      </c>
      <c r="L19" s="3"/>
    </row>
    <row r="20" spans="1:12" ht="57">
      <c r="A20" s="99" t="s">
        <v>42</v>
      </c>
      <c r="B20" s="100" t="s">
        <v>43</v>
      </c>
      <c r="C20" s="101" t="s">
        <v>30</v>
      </c>
      <c r="D20" s="114" t="s">
        <v>44</v>
      </c>
      <c r="E20" s="102" t="s">
        <v>27</v>
      </c>
      <c r="F20" s="103">
        <v>1383.79</v>
      </c>
      <c r="G20" s="103"/>
      <c r="H20" s="103">
        <f t="shared" si="5"/>
        <v>0</v>
      </c>
      <c r="I20" s="103">
        <f t="shared" si="6"/>
        <v>0</v>
      </c>
      <c r="J20" s="106" t="e">
        <f t="shared" si="7"/>
        <v>#DIV/0!</v>
      </c>
      <c r="L20" s="3"/>
    </row>
    <row r="21" spans="1:12" ht="24" customHeight="1">
      <c r="A21" s="99" t="s">
        <v>45</v>
      </c>
      <c r="B21" s="100" t="s">
        <v>232</v>
      </c>
      <c r="C21" s="101" t="s">
        <v>5</v>
      </c>
      <c r="D21" s="114" t="s">
        <v>233</v>
      </c>
      <c r="E21" s="102" t="s">
        <v>27</v>
      </c>
      <c r="F21" s="103">
        <v>1383.79</v>
      </c>
      <c r="G21" s="103"/>
      <c r="H21" s="103">
        <f t="shared" si="5"/>
        <v>0</v>
      </c>
      <c r="I21" s="103">
        <f t="shared" si="6"/>
        <v>0</v>
      </c>
      <c r="J21" s="106" t="e">
        <f t="shared" si="7"/>
        <v>#DIV/0!</v>
      </c>
      <c r="L21" s="3"/>
    </row>
    <row r="22" spans="1:12" ht="39" customHeight="1">
      <c r="A22" s="99" t="s">
        <v>46</v>
      </c>
      <c r="B22" s="100" t="s">
        <v>47</v>
      </c>
      <c r="C22" s="101" t="s">
        <v>30</v>
      </c>
      <c r="D22" s="114" t="s">
        <v>48</v>
      </c>
      <c r="E22" s="102" t="s">
        <v>9</v>
      </c>
      <c r="F22" s="103">
        <v>6349.66</v>
      </c>
      <c r="G22" s="103"/>
      <c r="H22" s="103">
        <f t="shared" si="5"/>
        <v>0</v>
      </c>
      <c r="I22" s="103">
        <f t="shared" si="6"/>
        <v>0</v>
      </c>
      <c r="J22" s="106" t="e">
        <f t="shared" si="7"/>
        <v>#DIV/0!</v>
      </c>
      <c r="L22" s="3"/>
    </row>
    <row r="23" spans="1:12" ht="51.95" customHeight="1">
      <c r="A23" s="99" t="s">
        <v>49</v>
      </c>
      <c r="B23" s="100" t="s">
        <v>50</v>
      </c>
      <c r="C23" s="101" t="s">
        <v>30</v>
      </c>
      <c r="D23" s="114" t="s">
        <v>51</v>
      </c>
      <c r="E23" s="102" t="s">
        <v>9</v>
      </c>
      <c r="F23" s="103">
        <v>439.2</v>
      </c>
      <c r="G23" s="103"/>
      <c r="H23" s="103">
        <f t="shared" si="5"/>
        <v>0</v>
      </c>
      <c r="I23" s="103">
        <f t="shared" si="6"/>
        <v>0</v>
      </c>
      <c r="J23" s="106" t="e">
        <f t="shared" si="7"/>
        <v>#DIV/0!</v>
      </c>
      <c r="L23" s="3"/>
    </row>
    <row r="24" spans="1:12" ht="24" customHeight="1">
      <c r="A24" s="99" t="s">
        <v>52</v>
      </c>
      <c r="B24" s="100">
        <v>101622</v>
      </c>
      <c r="C24" s="101" t="s">
        <v>30</v>
      </c>
      <c r="D24" s="114" t="s">
        <v>54</v>
      </c>
      <c r="E24" s="102" t="s">
        <v>27</v>
      </c>
      <c r="F24" s="103">
        <v>332.36</v>
      </c>
      <c r="G24" s="103"/>
      <c r="H24" s="103">
        <f t="shared" si="5"/>
        <v>0</v>
      </c>
      <c r="I24" s="103">
        <f t="shared" si="6"/>
        <v>0</v>
      </c>
      <c r="J24" s="106" t="e">
        <f t="shared" si="7"/>
        <v>#DIV/0!</v>
      </c>
      <c r="L24" s="3"/>
    </row>
    <row r="25" spans="1:12" ht="31.5" customHeight="1">
      <c r="A25" s="99" t="s">
        <v>55</v>
      </c>
      <c r="B25" s="100">
        <v>94304</v>
      </c>
      <c r="C25" s="101" t="s">
        <v>30</v>
      </c>
      <c r="D25" s="114" t="s">
        <v>234</v>
      </c>
      <c r="E25" s="102" t="s">
        <v>27</v>
      </c>
      <c r="F25" s="103">
        <v>3480.05</v>
      </c>
      <c r="G25" s="103"/>
      <c r="H25" s="103">
        <f t="shared" si="5"/>
        <v>0</v>
      </c>
      <c r="I25" s="103">
        <f t="shared" si="6"/>
        <v>0</v>
      </c>
      <c r="J25" s="106" t="e">
        <f t="shared" si="7"/>
        <v>#DIV/0!</v>
      </c>
      <c r="L25" s="3"/>
    </row>
    <row r="26" spans="1:12" ht="23.25" customHeight="1">
      <c r="A26" s="99"/>
      <c r="B26" s="100"/>
      <c r="C26" s="101"/>
      <c r="D26" s="114"/>
      <c r="E26" s="102"/>
      <c r="F26" s="103"/>
      <c r="G26" s="103"/>
      <c r="H26" s="103"/>
      <c r="I26" s="103"/>
      <c r="J26" s="106"/>
      <c r="L26" s="3"/>
    </row>
    <row r="27" spans="1:12" ht="24" customHeight="1">
      <c r="A27" s="94" t="s">
        <v>56</v>
      </c>
      <c r="B27" s="95"/>
      <c r="C27" s="95"/>
      <c r="D27" s="115" t="s">
        <v>57</v>
      </c>
      <c r="E27" s="95"/>
      <c r="F27" s="105"/>
      <c r="G27" s="95"/>
      <c r="H27" s="95"/>
      <c r="I27" s="97">
        <f>SUM(I28:I31)</f>
        <v>0</v>
      </c>
      <c r="J27" s="98" t="e">
        <f>SUM(J28:J31)</f>
        <v>#DIV/0!</v>
      </c>
      <c r="L27" s="3"/>
    </row>
    <row r="28" spans="1:12" ht="42.75">
      <c r="A28" s="99" t="s">
        <v>58</v>
      </c>
      <c r="B28" s="100" t="s">
        <v>59</v>
      </c>
      <c r="C28" s="101" t="s">
        <v>30</v>
      </c>
      <c r="D28" s="114" t="s">
        <v>60</v>
      </c>
      <c r="E28" s="102" t="s">
        <v>27</v>
      </c>
      <c r="F28" s="103">
        <v>414.12</v>
      </c>
      <c r="G28" s="103"/>
      <c r="H28" s="103">
        <f t="shared" ref="H28:H31" si="8">TRUNC((G28*$J$3)+G28,2)</f>
        <v>0</v>
      </c>
      <c r="I28" s="103">
        <f t="shared" ref="I28:I31" si="9">TRUNC(F28*H28,2)</f>
        <v>0</v>
      </c>
      <c r="J28" s="106" t="e">
        <f t="shared" ref="J28:J31" si="10">I28/$I$59</f>
        <v>#DIV/0!</v>
      </c>
      <c r="L28" s="3"/>
    </row>
    <row r="29" spans="1:12" s="132" customFormat="1" ht="28.5">
      <c r="A29" s="99" t="s">
        <v>245</v>
      </c>
      <c r="B29" s="100" t="s">
        <v>235</v>
      </c>
      <c r="C29" s="101" t="s">
        <v>5</v>
      </c>
      <c r="D29" s="114" t="s">
        <v>236</v>
      </c>
      <c r="E29" s="102" t="s">
        <v>9</v>
      </c>
      <c r="F29" s="103">
        <v>2760.8</v>
      </c>
      <c r="G29" s="103"/>
      <c r="H29" s="103">
        <f t="shared" ref="H29" si="11">TRUNC((G29*$J$3)+G29,2)</f>
        <v>0</v>
      </c>
      <c r="I29" s="103">
        <f t="shared" ref="I29" si="12">TRUNC(F29*H29,2)</f>
        <v>0</v>
      </c>
      <c r="J29" s="106" t="e">
        <f t="shared" ref="J29" si="13">I29/$I$59</f>
        <v>#DIV/0!</v>
      </c>
    </row>
    <row r="30" spans="1:12" ht="24" customHeight="1">
      <c r="A30" s="99" t="s">
        <v>246</v>
      </c>
      <c r="B30" s="100" t="s">
        <v>237</v>
      </c>
      <c r="C30" s="101" t="s">
        <v>5</v>
      </c>
      <c r="D30" s="114" t="s">
        <v>61</v>
      </c>
      <c r="E30" s="102" t="s">
        <v>9</v>
      </c>
      <c r="F30" s="103">
        <v>2760.8</v>
      </c>
      <c r="G30" s="103"/>
      <c r="H30" s="103">
        <f t="shared" si="8"/>
        <v>0</v>
      </c>
      <c r="I30" s="103">
        <f t="shared" si="9"/>
        <v>0</v>
      </c>
      <c r="J30" s="106" t="e">
        <f t="shared" si="10"/>
        <v>#DIV/0!</v>
      </c>
      <c r="L30" s="3"/>
    </row>
    <row r="31" spans="1:12" ht="26.1" customHeight="1">
      <c r="A31" s="99" t="s">
        <v>247</v>
      </c>
      <c r="B31" s="119" t="s">
        <v>238</v>
      </c>
      <c r="C31" s="101" t="s">
        <v>30</v>
      </c>
      <c r="D31" s="114" t="s">
        <v>239</v>
      </c>
      <c r="E31" s="102" t="s">
        <v>27</v>
      </c>
      <c r="F31" s="103">
        <v>138.04</v>
      </c>
      <c r="G31" s="103"/>
      <c r="H31" s="103">
        <f t="shared" si="8"/>
        <v>0</v>
      </c>
      <c r="I31" s="103">
        <f t="shared" si="9"/>
        <v>0</v>
      </c>
      <c r="J31" s="106" t="e">
        <f t="shared" si="10"/>
        <v>#DIV/0!</v>
      </c>
      <c r="L31" s="3"/>
    </row>
    <row r="32" spans="1:12" ht="26.1" customHeight="1">
      <c r="A32" s="94" t="s">
        <v>62</v>
      </c>
      <c r="B32" s="95"/>
      <c r="C32" s="95"/>
      <c r="D32" s="115" t="s">
        <v>63</v>
      </c>
      <c r="E32" s="95"/>
      <c r="F32" s="105"/>
      <c r="G32" s="95"/>
      <c r="H32" s="95"/>
      <c r="I32" s="97">
        <f>SUM(I33:I42)</f>
        <v>0</v>
      </c>
      <c r="J32" s="98" t="e">
        <f>SUM(J33:J42)</f>
        <v>#DIV/0!</v>
      </c>
      <c r="L32" s="3"/>
    </row>
    <row r="33" spans="1:13" ht="28.5">
      <c r="A33" s="99" t="s">
        <v>64</v>
      </c>
      <c r="B33" s="100"/>
      <c r="C33" s="134" t="s">
        <v>154</v>
      </c>
      <c r="D33" s="114" t="s">
        <v>65</v>
      </c>
      <c r="E33" s="102" t="s">
        <v>66</v>
      </c>
      <c r="F33" s="103">
        <v>431</v>
      </c>
      <c r="G33" s="103"/>
      <c r="H33" s="103">
        <f>TRUNC((G33*$J$4)+G33,2)</f>
        <v>0</v>
      </c>
      <c r="I33" s="103">
        <f t="shared" ref="I33:I42" si="14">TRUNC(F33*H33,2)</f>
        <v>0</v>
      </c>
      <c r="J33" s="106" t="e">
        <f t="shared" ref="J33:J42" si="15">I33/$I$59</f>
        <v>#DIV/0!</v>
      </c>
      <c r="L33" s="124">
        <f>I33+I34+I35+I36+I37+'Orçamento Bacia II'!I33+'Orçamento Bacia II'!I34+'Orçamento Bacia II'!I35+'Orçamento Bacia II'!I36+'Orçamento Bacia II'!I37+'Orçamento Bacia III'!I33+'Orçamento Bacia III'!I34+'Orçamento Bacia IV'!I33+'Orçamento Bacia IV'!I34+'Orçamento Bacia IV'!I35</f>
        <v>0</v>
      </c>
    </row>
    <row r="34" spans="1:13" ht="28.5">
      <c r="A34" s="99" t="s">
        <v>67</v>
      </c>
      <c r="B34" s="100"/>
      <c r="C34" s="134" t="s">
        <v>154</v>
      </c>
      <c r="D34" s="114" t="s">
        <v>68</v>
      </c>
      <c r="E34" s="102" t="s">
        <v>66</v>
      </c>
      <c r="F34" s="103">
        <v>186</v>
      </c>
      <c r="G34" s="103"/>
      <c r="H34" s="103">
        <f t="shared" ref="H34:H37" si="16">TRUNC((G34*$J$4)+G34,2)</f>
        <v>0</v>
      </c>
      <c r="I34" s="103">
        <f t="shared" si="14"/>
        <v>0</v>
      </c>
      <c r="J34" s="106" t="e">
        <f t="shared" si="15"/>
        <v>#DIV/0!</v>
      </c>
      <c r="L34" s="3"/>
    </row>
    <row r="35" spans="1:13" ht="28.5">
      <c r="A35" s="99" t="s">
        <v>69</v>
      </c>
      <c r="B35" s="100"/>
      <c r="C35" s="134" t="s">
        <v>154</v>
      </c>
      <c r="D35" s="114" t="s">
        <v>70</v>
      </c>
      <c r="E35" s="102" t="s">
        <v>66</v>
      </c>
      <c r="F35" s="103">
        <v>158</v>
      </c>
      <c r="G35" s="103"/>
      <c r="H35" s="103">
        <f t="shared" si="16"/>
        <v>0</v>
      </c>
      <c r="I35" s="103">
        <f t="shared" si="14"/>
        <v>0</v>
      </c>
      <c r="J35" s="106" t="e">
        <f t="shared" si="15"/>
        <v>#DIV/0!</v>
      </c>
      <c r="L35" s="3"/>
    </row>
    <row r="36" spans="1:13" ht="28.5">
      <c r="A36" s="99" t="s">
        <v>71</v>
      </c>
      <c r="B36" s="100"/>
      <c r="C36" s="134" t="s">
        <v>154</v>
      </c>
      <c r="D36" s="114" t="s">
        <v>72</v>
      </c>
      <c r="E36" s="102" t="s">
        <v>66</v>
      </c>
      <c r="F36" s="103">
        <v>112</v>
      </c>
      <c r="G36" s="103"/>
      <c r="H36" s="103">
        <f t="shared" si="16"/>
        <v>0</v>
      </c>
      <c r="I36" s="103">
        <f t="shared" si="14"/>
        <v>0</v>
      </c>
      <c r="J36" s="106" t="e">
        <f t="shared" si="15"/>
        <v>#DIV/0!</v>
      </c>
      <c r="L36" s="3"/>
    </row>
    <row r="37" spans="1:13" ht="28.5">
      <c r="A37" s="99" t="s">
        <v>73</v>
      </c>
      <c r="B37" s="100"/>
      <c r="C37" s="134" t="s">
        <v>154</v>
      </c>
      <c r="D37" s="114" t="s">
        <v>74</v>
      </c>
      <c r="E37" s="102" t="s">
        <v>66</v>
      </c>
      <c r="F37" s="103">
        <v>688</v>
      </c>
      <c r="G37" s="103"/>
      <c r="H37" s="103">
        <f t="shared" si="16"/>
        <v>0</v>
      </c>
      <c r="I37" s="103">
        <f t="shared" si="14"/>
        <v>0</v>
      </c>
      <c r="J37" s="106" t="e">
        <f t="shared" si="15"/>
        <v>#DIV/0!</v>
      </c>
      <c r="L37" s="131">
        <v>0.5</v>
      </c>
      <c r="M37">
        <v>350</v>
      </c>
    </row>
    <row r="38" spans="1:13" ht="42.75">
      <c r="A38" s="99" t="s">
        <v>75</v>
      </c>
      <c r="B38" s="100" t="s">
        <v>76</v>
      </c>
      <c r="C38" s="101" t="s">
        <v>30</v>
      </c>
      <c r="D38" s="114" t="s">
        <v>77</v>
      </c>
      <c r="E38" s="102" t="s">
        <v>13</v>
      </c>
      <c r="F38" s="103">
        <v>431</v>
      </c>
      <c r="G38" s="103"/>
      <c r="H38" s="103">
        <f t="shared" ref="H38:H42" si="17">TRUNC((G38*$J$3)+G38,2)</f>
        <v>0</v>
      </c>
      <c r="I38" s="103">
        <f t="shared" si="14"/>
        <v>0</v>
      </c>
      <c r="J38" s="106" t="e">
        <f t="shared" si="15"/>
        <v>#DIV/0!</v>
      </c>
      <c r="L38" s="3"/>
    </row>
    <row r="39" spans="1:13" ht="57">
      <c r="A39" s="99" t="s">
        <v>78</v>
      </c>
      <c r="B39" s="100" t="s">
        <v>79</v>
      </c>
      <c r="C39" s="101" t="s">
        <v>30</v>
      </c>
      <c r="D39" s="114" t="s">
        <v>80</v>
      </c>
      <c r="E39" s="102" t="s">
        <v>13</v>
      </c>
      <c r="F39" s="103">
        <v>186</v>
      </c>
      <c r="G39" s="103"/>
      <c r="H39" s="103">
        <f t="shared" si="17"/>
        <v>0</v>
      </c>
      <c r="I39" s="103">
        <f t="shared" si="14"/>
        <v>0</v>
      </c>
      <c r="J39" s="106" t="e">
        <f t="shared" si="15"/>
        <v>#DIV/0!</v>
      </c>
      <c r="L39" s="3"/>
    </row>
    <row r="40" spans="1:13" ht="51.95" customHeight="1">
      <c r="A40" s="99" t="s">
        <v>81</v>
      </c>
      <c r="B40" s="100" t="s">
        <v>82</v>
      </c>
      <c r="C40" s="101" t="s">
        <v>30</v>
      </c>
      <c r="D40" s="114" t="s">
        <v>83</v>
      </c>
      <c r="E40" s="102" t="s">
        <v>13</v>
      </c>
      <c r="F40" s="103">
        <v>158</v>
      </c>
      <c r="G40" s="103"/>
      <c r="H40" s="103">
        <f t="shared" si="17"/>
        <v>0</v>
      </c>
      <c r="I40" s="103">
        <f t="shared" si="14"/>
        <v>0</v>
      </c>
      <c r="J40" s="106" t="e">
        <f t="shared" si="15"/>
        <v>#DIV/0!</v>
      </c>
      <c r="L40" s="3"/>
    </row>
    <row r="41" spans="1:13" ht="51.95" customHeight="1">
      <c r="A41" s="99" t="s">
        <v>84</v>
      </c>
      <c r="B41" s="100" t="s">
        <v>85</v>
      </c>
      <c r="C41" s="101" t="s">
        <v>30</v>
      </c>
      <c r="D41" s="114" t="s">
        <v>86</v>
      </c>
      <c r="E41" s="102" t="s">
        <v>13</v>
      </c>
      <c r="F41" s="103">
        <v>112</v>
      </c>
      <c r="G41" s="103"/>
      <c r="H41" s="103">
        <f t="shared" si="17"/>
        <v>0</v>
      </c>
      <c r="I41" s="103">
        <f t="shared" si="14"/>
        <v>0</v>
      </c>
      <c r="J41" s="106" t="e">
        <f t="shared" si="15"/>
        <v>#DIV/0!</v>
      </c>
      <c r="L41" s="3"/>
    </row>
    <row r="42" spans="1:13" ht="51.95" customHeight="1">
      <c r="A42" s="99" t="s">
        <v>87</v>
      </c>
      <c r="B42" s="100" t="s">
        <v>88</v>
      </c>
      <c r="C42" s="101" t="s">
        <v>30</v>
      </c>
      <c r="D42" s="114" t="s">
        <v>89</v>
      </c>
      <c r="E42" s="102" t="s">
        <v>13</v>
      </c>
      <c r="F42" s="103">
        <v>688</v>
      </c>
      <c r="G42" s="103"/>
      <c r="H42" s="103">
        <f t="shared" si="17"/>
        <v>0</v>
      </c>
      <c r="I42" s="103">
        <f t="shared" si="14"/>
        <v>0</v>
      </c>
      <c r="J42" s="106" t="e">
        <f t="shared" si="15"/>
        <v>#DIV/0!</v>
      </c>
      <c r="L42" s="3"/>
    </row>
    <row r="43" spans="1:13" ht="26.1" customHeight="1">
      <c r="A43" s="94" t="s">
        <v>90</v>
      </c>
      <c r="B43" s="95"/>
      <c r="C43" s="95"/>
      <c r="D43" s="115" t="s">
        <v>91</v>
      </c>
      <c r="E43" s="95"/>
      <c r="F43" s="105"/>
      <c r="G43" s="95"/>
      <c r="H43" s="95"/>
      <c r="I43" s="97">
        <f>SUM(I44:I46)</f>
        <v>0</v>
      </c>
      <c r="J43" s="98" t="e">
        <f>SUM(J44:J46)</f>
        <v>#DIV/0!</v>
      </c>
      <c r="L43" s="3"/>
    </row>
    <row r="44" spans="1:13" ht="28.5">
      <c r="A44" s="99" t="s">
        <v>92</v>
      </c>
      <c r="B44" s="100" t="s">
        <v>240</v>
      </c>
      <c r="C44" s="101" t="s">
        <v>30</v>
      </c>
      <c r="D44" s="114" t="s">
        <v>224</v>
      </c>
      <c r="E44" s="102" t="s">
        <v>93</v>
      </c>
      <c r="F44" s="103">
        <v>3</v>
      </c>
      <c r="G44" s="103"/>
      <c r="H44" s="103">
        <f t="shared" ref="H44:H46" si="18">TRUNC((G44*$J$3)+G44,2)</f>
        <v>0</v>
      </c>
      <c r="I44" s="103">
        <f t="shared" ref="I44:I46" si="19">TRUNC(F44*H44,2)</f>
        <v>0</v>
      </c>
      <c r="J44" s="106" t="e">
        <f t="shared" ref="J44:J46" si="20">I44/$I$59</f>
        <v>#DIV/0!</v>
      </c>
      <c r="L44" s="3" t="s">
        <v>222</v>
      </c>
    </row>
    <row r="45" spans="1:13" ht="42.75">
      <c r="A45" s="99" t="s">
        <v>94</v>
      </c>
      <c r="B45" s="100" t="s">
        <v>241</v>
      </c>
      <c r="C45" s="101" t="s">
        <v>30</v>
      </c>
      <c r="D45" s="114" t="s">
        <v>225</v>
      </c>
      <c r="E45" s="102" t="s">
        <v>93</v>
      </c>
      <c r="F45" s="103">
        <v>13</v>
      </c>
      <c r="G45" s="103"/>
      <c r="H45" s="103">
        <f t="shared" si="18"/>
        <v>0</v>
      </c>
      <c r="I45" s="103">
        <f t="shared" si="19"/>
        <v>0</v>
      </c>
      <c r="J45" s="106" t="e">
        <f t="shared" si="20"/>
        <v>#DIV/0!</v>
      </c>
      <c r="L45" s="3"/>
    </row>
    <row r="46" spans="1:13" ht="42.75">
      <c r="A46" s="99" t="s">
        <v>95</v>
      </c>
      <c r="B46" s="100" t="s">
        <v>242</v>
      </c>
      <c r="C46" s="101" t="s">
        <v>30</v>
      </c>
      <c r="D46" s="114" t="s">
        <v>226</v>
      </c>
      <c r="E46" s="102" t="s">
        <v>93</v>
      </c>
      <c r="F46" s="103">
        <v>10</v>
      </c>
      <c r="G46" s="103"/>
      <c r="H46" s="103">
        <f t="shared" si="18"/>
        <v>0</v>
      </c>
      <c r="I46" s="103">
        <f t="shared" si="19"/>
        <v>0</v>
      </c>
      <c r="J46" s="106" t="e">
        <f t="shared" si="20"/>
        <v>#DIV/0!</v>
      </c>
      <c r="L46" s="3"/>
    </row>
    <row r="47" spans="1:13" ht="24" customHeight="1">
      <c r="A47" s="94" t="s">
        <v>96</v>
      </c>
      <c r="B47" s="95"/>
      <c r="C47" s="95"/>
      <c r="D47" s="115" t="s">
        <v>97</v>
      </c>
      <c r="E47" s="95"/>
      <c r="F47" s="105"/>
      <c r="G47" s="95"/>
      <c r="H47" s="95"/>
      <c r="I47" s="97">
        <f>SUM(I48:I49)</f>
        <v>0</v>
      </c>
      <c r="J47" s="98" t="e">
        <f>SUM(J48:J49)</f>
        <v>#DIV/0!</v>
      </c>
      <c r="L47" s="3"/>
    </row>
    <row r="48" spans="1:13" ht="42.75">
      <c r="A48" s="99" t="s">
        <v>98</v>
      </c>
      <c r="B48" s="100" t="s">
        <v>243</v>
      </c>
      <c r="C48" s="101" t="s">
        <v>30</v>
      </c>
      <c r="D48" s="114" t="s">
        <v>100</v>
      </c>
      <c r="E48" s="102" t="s">
        <v>101</v>
      </c>
      <c r="F48" s="103">
        <v>34</v>
      </c>
      <c r="G48" s="103"/>
      <c r="H48" s="103">
        <f t="shared" ref="H48:H49" si="21">TRUNC((G48*$J$3)+G48,2)</f>
        <v>0</v>
      </c>
      <c r="I48" s="103">
        <f t="shared" ref="I48:I49" si="22">TRUNC(F48*H48,2)</f>
        <v>0</v>
      </c>
      <c r="J48" s="106" t="e">
        <f t="shared" ref="J48:J49" si="23">I48/$I$59</f>
        <v>#DIV/0!</v>
      </c>
      <c r="L48" s="3" t="s">
        <v>223</v>
      </c>
    </row>
    <row r="49" spans="1:12" ht="42.75">
      <c r="A49" s="99" t="s">
        <v>102</v>
      </c>
      <c r="B49" s="100">
        <v>97973</v>
      </c>
      <c r="C49" s="101" t="s">
        <v>30</v>
      </c>
      <c r="D49" s="114" t="s">
        <v>104</v>
      </c>
      <c r="E49" s="102" t="s">
        <v>101</v>
      </c>
      <c r="F49" s="103">
        <v>9</v>
      </c>
      <c r="G49" s="103"/>
      <c r="H49" s="103">
        <f t="shared" si="21"/>
        <v>0</v>
      </c>
      <c r="I49" s="103">
        <f t="shared" si="22"/>
        <v>0</v>
      </c>
      <c r="J49" s="106" t="e">
        <f t="shared" si="23"/>
        <v>#DIV/0!</v>
      </c>
      <c r="L49" s="130" t="s">
        <v>223</v>
      </c>
    </row>
    <row r="50" spans="1:12" ht="24" customHeight="1">
      <c r="A50" s="94" t="s">
        <v>105</v>
      </c>
      <c r="B50" s="95"/>
      <c r="C50" s="95"/>
      <c r="D50" s="115" t="s">
        <v>106</v>
      </c>
      <c r="E50" s="95"/>
      <c r="F50" s="105"/>
      <c r="G50" s="95"/>
      <c r="H50" s="95"/>
      <c r="I50" s="97">
        <f>SUM(I51:I55)</f>
        <v>0</v>
      </c>
      <c r="J50" s="98" t="e">
        <f>SUM(J51:J55)</f>
        <v>#DIV/0!</v>
      </c>
      <c r="L50" s="3"/>
    </row>
    <row r="51" spans="1:12" ht="28.5">
      <c r="A51" s="99" t="s">
        <v>107</v>
      </c>
      <c r="B51" s="100" t="s">
        <v>108</v>
      </c>
      <c r="C51" s="101" t="s">
        <v>109</v>
      </c>
      <c r="D51" s="114" t="s">
        <v>110</v>
      </c>
      <c r="E51" s="102" t="s">
        <v>93</v>
      </c>
      <c r="F51" s="103">
        <v>20</v>
      </c>
      <c r="G51" s="103"/>
      <c r="H51" s="103">
        <f t="shared" ref="H51:H55" si="24">TRUNC((G51*$J$3)+G51,2)</f>
        <v>0</v>
      </c>
      <c r="I51" s="103">
        <f t="shared" ref="I51:I55" si="25">TRUNC(F51*H51,2)</f>
        <v>0</v>
      </c>
      <c r="J51" s="106" t="e">
        <f t="shared" ref="J51:J55" si="26">I51/$I$59</f>
        <v>#DIV/0!</v>
      </c>
      <c r="L51" s="3"/>
    </row>
    <row r="52" spans="1:12" ht="28.5">
      <c r="A52" s="99" t="s">
        <v>111</v>
      </c>
      <c r="B52" s="100" t="s">
        <v>112</v>
      </c>
      <c r="C52" s="101" t="s">
        <v>113</v>
      </c>
      <c r="D52" s="114" t="s">
        <v>227</v>
      </c>
      <c r="E52" s="102" t="s">
        <v>101</v>
      </c>
      <c r="F52" s="103">
        <v>85</v>
      </c>
      <c r="G52" s="103"/>
      <c r="H52" s="103">
        <f t="shared" si="24"/>
        <v>0</v>
      </c>
      <c r="I52" s="103">
        <f t="shared" si="25"/>
        <v>0</v>
      </c>
      <c r="J52" s="106" t="e">
        <f t="shared" si="26"/>
        <v>#DIV/0!</v>
      </c>
      <c r="L52" s="3"/>
    </row>
    <row r="53" spans="1:12" ht="28.5">
      <c r="A53" s="99" t="s">
        <v>114</v>
      </c>
      <c r="B53" s="100" t="s">
        <v>115</v>
      </c>
      <c r="C53" s="101" t="s">
        <v>113</v>
      </c>
      <c r="D53" s="114" t="s">
        <v>228</v>
      </c>
      <c r="E53" s="102" t="s">
        <v>101</v>
      </c>
      <c r="F53" s="103">
        <v>65</v>
      </c>
      <c r="G53" s="103"/>
      <c r="H53" s="103">
        <f t="shared" si="24"/>
        <v>0</v>
      </c>
      <c r="I53" s="103">
        <f t="shared" si="25"/>
        <v>0</v>
      </c>
      <c r="J53" s="106" t="e">
        <f t="shared" si="26"/>
        <v>#DIV/0!</v>
      </c>
      <c r="L53" s="3"/>
    </row>
    <row r="54" spans="1:12" ht="28.5">
      <c r="A54" s="99" t="s">
        <v>116</v>
      </c>
      <c r="B54" s="100" t="s">
        <v>117</v>
      </c>
      <c r="C54" s="101" t="s">
        <v>109</v>
      </c>
      <c r="D54" s="114" t="s">
        <v>118</v>
      </c>
      <c r="E54" s="102" t="s">
        <v>66</v>
      </c>
      <c r="F54" s="103">
        <v>80</v>
      </c>
      <c r="G54" s="103"/>
      <c r="H54" s="103">
        <f t="shared" si="24"/>
        <v>0</v>
      </c>
      <c r="I54" s="103">
        <f t="shared" si="25"/>
        <v>0</v>
      </c>
      <c r="J54" s="106" t="e">
        <f t="shared" si="26"/>
        <v>#DIV/0!</v>
      </c>
      <c r="L54" s="3"/>
    </row>
    <row r="55" spans="1:12" ht="28.5">
      <c r="A55" s="99" t="s">
        <v>119</v>
      </c>
      <c r="B55" s="100" t="s">
        <v>120</v>
      </c>
      <c r="C55" s="101" t="s">
        <v>109</v>
      </c>
      <c r="D55" s="114" t="s">
        <v>121</v>
      </c>
      <c r="E55" s="102" t="s">
        <v>93</v>
      </c>
      <c r="F55" s="103">
        <v>30</v>
      </c>
      <c r="G55" s="103"/>
      <c r="H55" s="103">
        <f t="shared" si="24"/>
        <v>0</v>
      </c>
      <c r="I55" s="103">
        <f t="shared" si="25"/>
        <v>0</v>
      </c>
      <c r="J55" s="106" t="e">
        <f t="shared" si="26"/>
        <v>#DIV/0!</v>
      </c>
      <c r="L55" s="3"/>
    </row>
    <row r="56" spans="1:12" ht="24" customHeight="1">
      <c r="A56" s="94" t="s">
        <v>122</v>
      </c>
      <c r="B56" s="95"/>
      <c r="C56" s="95"/>
      <c r="D56" s="95" t="s">
        <v>123</v>
      </c>
      <c r="E56" s="95"/>
      <c r="F56" s="105"/>
      <c r="G56" s="95"/>
      <c r="H56" s="95"/>
      <c r="I56" s="97">
        <f>SUM(I57)</f>
        <v>0</v>
      </c>
      <c r="J56" s="98" t="e">
        <f>SUM(J57)</f>
        <v>#DIV/0!</v>
      </c>
      <c r="L56" s="3"/>
    </row>
    <row r="57" spans="1:12" ht="24" customHeight="1">
      <c r="A57" s="107" t="s">
        <v>124</v>
      </c>
      <c r="B57" s="108" t="s">
        <v>244</v>
      </c>
      <c r="C57" s="109" t="s">
        <v>5</v>
      </c>
      <c r="D57" s="109" t="s">
        <v>126</v>
      </c>
      <c r="E57" s="110" t="s">
        <v>9</v>
      </c>
      <c r="F57" s="111">
        <v>2760.8</v>
      </c>
      <c r="G57" s="121"/>
      <c r="H57" s="121">
        <f>TRUNC((G57*$J$3)+G57,2)</f>
        <v>0</v>
      </c>
      <c r="I57" s="121">
        <f>TRUNC(F57*H57,2)</f>
        <v>0</v>
      </c>
      <c r="J57" s="122" t="e">
        <f>I57/$I$59</f>
        <v>#DIV/0!</v>
      </c>
      <c r="L57" s="3"/>
    </row>
    <row r="58" spans="1:12" ht="15" thickBot="1">
      <c r="A58" s="112"/>
      <c r="B58" s="112"/>
      <c r="C58" s="112"/>
      <c r="D58" s="112"/>
      <c r="E58" s="112"/>
      <c r="F58" s="112"/>
      <c r="G58" s="123"/>
      <c r="H58" s="123"/>
      <c r="I58" s="123"/>
      <c r="J58" s="123"/>
      <c r="L58" s="3"/>
    </row>
    <row r="59" spans="1:12" ht="21" customHeight="1" thickBot="1">
      <c r="A59" s="159" t="s">
        <v>211</v>
      </c>
      <c r="B59" s="159"/>
      <c r="C59" s="159"/>
      <c r="D59" s="159"/>
      <c r="E59" s="159"/>
      <c r="F59" s="159"/>
      <c r="G59" s="159"/>
      <c r="H59" s="159"/>
      <c r="I59" s="116">
        <f>SUM(I6:I57)/2</f>
        <v>0</v>
      </c>
      <c r="J59" s="117" t="e">
        <f>SUM(J6:J57)/2</f>
        <v>#DIV/0!</v>
      </c>
      <c r="L59" s="3"/>
    </row>
    <row r="60" spans="1:12" ht="15">
      <c r="A60" s="113"/>
      <c r="B60" s="113"/>
      <c r="C60" s="113"/>
      <c r="D60" s="113"/>
      <c r="E60" s="113"/>
      <c r="F60" s="157"/>
      <c r="G60" s="158"/>
      <c r="H60" s="113"/>
      <c r="I60" s="113"/>
      <c r="J60" s="113"/>
    </row>
    <row r="61" spans="1:12" ht="21.75" customHeight="1">
      <c r="A61" s="160" t="s">
        <v>155</v>
      </c>
      <c r="B61" s="161"/>
      <c r="C61" s="161"/>
      <c r="D61" s="161"/>
      <c r="E61" s="161"/>
      <c r="F61" s="161"/>
      <c r="G61" s="161"/>
      <c r="H61" s="161"/>
      <c r="I61" s="161"/>
      <c r="J61" s="161"/>
    </row>
    <row r="62" spans="1:12">
      <c r="K62" s="120"/>
    </row>
    <row r="63" spans="1:12">
      <c r="F63" s="155"/>
      <c r="G63" s="154"/>
      <c r="H63" s="156"/>
      <c r="I63" s="154"/>
      <c r="J63" s="154"/>
    </row>
    <row r="64" spans="1:12">
      <c r="F64" s="155"/>
      <c r="G64" s="154"/>
      <c r="H64" s="156"/>
      <c r="I64" s="154"/>
      <c r="J64" s="154"/>
    </row>
    <row r="65" spans="6:10">
      <c r="F65" s="155"/>
      <c r="G65" s="154"/>
      <c r="H65" s="156"/>
      <c r="I65" s="154"/>
      <c r="J65" s="154"/>
    </row>
    <row r="66" spans="6:10">
      <c r="J66" s="124"/>
    </row>
  </sheetData>
  <mergeCells count="15">
    <mergeCell ref="A59:H59"/>
    <mergeCell ref="A61:J61"/>
    <mergeCell ref="F63:G63"/>
    <mergeCell ref="H63:J63"/>
    <mergeCell ref="A1:C2"/>
    <mergeCell ref="D1:J1"/>
    <mergeCell ref="D2:J2"/>
    <mergeCell ref="B3:F3"/>
    <mergeCell ref="G3:H4"/>
    <mergeCell ref="B4:F4"/>
    <mergeCell ref="F64:G64"/>
    <mergeCell ref="H64:J64"/>
    <mergeCell ref="F65:G65"/>
    <mergeCell ref="H65:J65"/>
    <mergeCell ref="F60:G60"/>
  </mergeCells>
  <pageMargins left="0.51181102362204722" right="0.51181102362204722" top="0.78740157480314965" bottom="0.78740157480314965" header="0.31496062992125984" footer="0.51181102362204722"/>
  <pageSetup paperSize="9" scale="56" fitToHeight="0" orientation="portrait" r:id="rId1"/>
  <headerFooter>
    <oddHeader>&amp;RProcesso nº. 7038/23
Fls.______ Rubrica ____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OutlineSymbols="0" showWhiteSpace="0" zoomScaleNormal="100" workbookViewId="0">
      <selection activeCell="D2" sqref="D2:J2"/>
    </sheetView>
  </sheetViews>
  <sheetFormatPr defaultRowHeight="14.25"/>
  <cols>
    <col min="1" max="2" width="10" style="3" bestFit="1" customWidth="1"/>
    <col min="3" max="3" width="10.5" style="3" bestFit="1" customWidth="1"/>
    <col min="4" max="4" width="60" style="3" bestFit="1" customWidth="1"/>
    <col min="5" max="5" width="8" style="3" bestFit="1" customWidth="1"/>
    <col min="6" max="6" width="7.875" style="3" bestFit="1" customWidth="1"/>
    <col min="7" max="7" width="11.625" style="3" customWidth="1"/>
    <col min="8" max="8" width="10.75" style="3" customWidth="1"/>
    <col min="9" max="9" width="11.375" style="3" customWidth="1"/>
    <col min="10" max="10" width="10.25" style="3" customWidth="1"/>
    <col min="11" max="16384" width="9" style="3"/>
  </cols>
  <sheetData>
    <row r="1" spans="1:10" ht="48" customHeight="1">
      <c r="A1" s="144"/>
      <c r="B1" s="145"/>
      <c r="C1" s="146"/>
      <c r="D1" s="150" t="s">
        <v>128</v>
      </c>
      <c r="E1" s="150"/>
      <c r="F1" s="150"/>
      <c r="G1" s="150"/>
      <c r="H1" s="150"/>
      <c r="I1" s="150"/>
      <c r="J1" s="151"/>
    </row>
    <row r="2" spans="1:10" ht="42.75" customHeight="1">
      <c r="A2" s="147"/>
      <c r="B2" s="148"/>
      <c r="C2" s="149"/>
      <c r="D2" s="152" t="s">
        <v>249</v>
      </c>
      <c r="E2" s="152"/>
      <c r="F2" s="152"/>
      <c r="G2" s="152"/>
      <c r="H2" s="152"/>
      <c r="I2" s="152"/>
      <c r="J2" s="153"/>
    </row>
    <row r="3" spans="1:10" ht="32.25" customHeight="1">
      <c r="A3" s="9" t="s">
        <v>129</v>
      </c>
      <c r="B3" s="143" t="s">
        <v>148</v>
      </c>
      <c r="C3" s="143"/>
      <c r="D3" s="143"/>
      <c r="E3" s="143"/>
      <c r="F3" s="143"/>
      <c r="G3" s="141" t="s">
        <v>146</v>
      </c>
      <c r="H3" s="141"/>
      <c r="I3" s="10" t="s">
        <v>147</v>
      </c>
      <c r="J3" s="11">
        <v>0.25</v>
      </c>
    </row>
    <row r="4" spans="1:10" ht="28.5" customHeight="1">
      <c r="A4" s="9" t="s">
        <v>130</v>
      </c>
      <c r="B4" s="142" t="s">
        <v>213</v>
      </c>
      <c r="C4" s="142"/>
      <c r="D4" s="142"/>
      <c r="E4" s="142"/>
      <c r="F4" s="142"/>
      <c r="G4" s="141"/>
      <c r="H4" s="141"/>
      <c r="I4" s="7" t="s">
        <v>150</v>
      </c>
      <c r="J4" s="8">
        <v>0.16</v>
      </c>
    </row>
    <row r="5" spans="1:10" ht="30" customHeight="1">
      <c r="A5" s="4" t="s">
        <v>131</v>
      </c>
      <c r="B5" s="4" t="s">
        <v>132</v>
      </c>
      <c r="C5" s="4" t="s">
        <v>139</v>
      </c>
      <c r="D5" s="4" t="s">
        <v>133</v>
      </c>
      <c r="E5" s="4" t="s">
        <v>134</v>
      </c>
      <c r="F5" s="5" t="s">
        <v>135</v>
      </c>
      <c r="G5" s="6" t="s">
        <v>136</v>
      </c>
      <c r="H5" s="6" t="s">
        <v>137</v>
      </c>
      <c r="I5" s="4" t="s">
        <v>138</v>
      </c>
      <c r="J5" s="4" t="s">
        <v>140</v>
      </c>
    </row>
    <row r="6" spans="1:10" ht="24" customHeight="1">
      <c r="A6" s="94" t="s">
        <v>176</v>
      </c>
      <c r="B6" s="95"/>
      <c r="C6" s="95"/>
      <c r="D6" s="95" t="s">
        <v>2</v>
      </c>
      <c r="E6" s="95"/>
      <c r="F6" s="96"/>
      <c r="G6" s="95"/>
      <c r="H6" s="95"/>
      <c r="I6" s="97">
        <f>SUM(I7:I10)</f>
        <v>0</v>
      </c>
      <c r="J6" s="98" t="e">
        <f>SUM(J7:J10)</f>
        <v>#DIV/0!</v>
      </c>
    </row>
    <row r="7" spans="1:10" ht="39" customHeight="1">
      <c r="A7" s="99" t="s">
        <v>3</v>
      </c>
      <c r="B7" s="100" t="s">
        <v>4</v>
      </c>
      <c r="C7" s="118" t="s">
        <v>5</v>
      </c>
      <c r="D7" s="114" t="s">
        <v>6</v>
      </c>
      <c r="E7" s="102" t="s">
        <v>7</v>
      </c>
      <c r="F7" s="103">
        <v>0</v>
      </c>
      <c r="G7" s="103"/>
      <c r="H7" s="103">
        <f>TRUNC((G7*$J$3)+G7,2)</f>
        <v>0</v>
      </c>
      <c r="I7" s="103">
        <f>TRUNC(F7*H7,2)</f>
        <v>0</v>
      </c>
      <c r="J7" s="104" t="e">
        <f>I7/$I$59</f>
        <v>#DIV/0!</v>
      </c>
    </row>
    <row r="8" spans="1:10" ht="24" customHeight="1">
      <c r="A8" s="99" t="s">
        <v>8</v>
      </c>
      <c r="B8" s="100" t="s">
        <v>229</v>
      </c>
      <c r="C8" s="101" t="s">
        <v>152</v>
      </c>
      <c r="D8" s="114" t="s">
        <v>230</v>
      </c>
      <c r="E8" s="102" t="s">
        <v>9</v>
      </c>
      <c r="F8" s="103">
        <v>0</v>
      </c>
      <c r="G8" s="103"/>
      <c r="H8" s="103">
        <f t="shared" ref="H8:H10" si="0">TRUNC((G8*$J$3)+G8,2)</f>
        <v>0</v>
      </c>
      <c r="I8" s="103">
        <f t="shared" ref="I8:I10" si="1">TRUNC(F8*H8,2)</f>
        <v>0</v>
      </c>
      <c r="J8" s="104" t="e">
        <f t="shared" ref="J8:J10" si="2">I8/$I$59</f>
        <v>#DIV/0!</v>
      </c>
    </row>
    <row r="9" spans="1:10" ht="24" customHeight="1">
      <c r="A9" s="99" t="s">
        <v>10</v>
      </c>
      <c r="B9" s="133" t="s">
        <v>11</v>
      </c>
      <c r="C9" s="134" t="s">
        <v>151</v>
      </c>
      <c r="D9" s="114" t="s">
        <v>12</v>
      </c>
      <c r="E9" s="102" t="s">
        <v>13</v>
      </c>
      <c r="F9" s="103">
        <v>394</v>
      </c>
      <c r="G9" s="103"/>
      <c r="H9" s="103">
        <f t="shared" si="0"/>
        <v>0</v>
      </c>
      <c r="I9" s="103">
        <f t="shared" si="1"/>
        <v>0</v>
      </c>
      <c r="J9" s="104" t="e">
        <f t="shared" si="2"/>
        <v>#DIV/0!</v>
      </c>
    </row>
    <row r="10" spans="1:10" ht="24" customHeight="1">
      <c r="A10" s="99" t="s">
        <v>14</v>
      </c>
      <c r="B10" s="133" t="s">
        <v>15</v>
      </c>
      <c r="C10" s="134" t="s">
        <v>151</v>
      </c>
      <c r="D10" s="114" t="s">
        <v>16</v>
      </c>
      <c r="E10" s="102" t="s">
        <v>13</v>
      </c>
      <c r="F10" s="103">
        <v>190</v>
      </c>
      <c r="G10" s="103"/>
      <c r="H10" s="103">
        <f t="shared" si="0"/>
        <v>0</v>
      </c>
      <c r="I10" s="103">
        <f t="shared" si="1"/>
        <v>0</v>
      </c>
      <c r="J10" s="104" t="e">
        <f t="shared" si="2"/>
        <v>#DIV/0!</v>
      </c>
    </row>
    <row r="11" spans="1:10" ht="24" customHeight="1">
      <c r="A11" s="94" t="s">
        <v>17</v>
      </c>
      <c r="B11" s="135"/>
      <c r="C11" s="135"/>
      <c r="D11" s="136" t="s">
        <v>18</v>
      </c>
      <c r="E11" s="135"/>
      <c r="F11" s="137"/>
      <c r="G11" s="135"/>
      <c r="H11" s="95"/>
      <c r="I11" s="97">
        <f>SUM(I12:I13)</f>
        <v>0</v>
      </c>
      <c r="J11" s="98" t="e">
        <f>SUM(J12:J13)</f>
        <v>#DIV/0!</v>
      </c>
    </row>
    <row r="12" spans="1:10" ht="28.5">
      <c r="A12" s="99" t="s">
        <v>19</v>
      </c>
      <c r="B12" s="100" t="s">
        <v>231</v>
      </c>
      <c r="C12" s="101" t="s">
        <v>152</v>
      </c>
      <c r="D12" s="114" t="s">
        <v>20</v>
      </c>
      <c r="E12" s="102" t="s">
        <v>13</v>
      </c>
      <c r="F12" s="103">
        <v>573.5</v>
      </c>
      <c r="G12" s="103"/>
      <c r="H12" s="103">
        <f t="shared" ref="H12:H13" si="3">TRUNC((G12*$J$3)+G12,2)</f>
        <v>0</v>
      </c>
      <c r="I12" s="103">
        <f t="shared" ref="I12:I13" si="4">TRUNC(F12*H12,2)</f>
        <v>0</v>
      </c>
      <c r="J12" s="106" t="e">
        <f t="shared" ref="J12:J13" si="5">I12/$I$59</f>
        <v>#DIV/0!</v>
      </c>
    </row>
    <row r="13" spans="1:10" ht="28.5">
      <c r="A13" s="99" t="s">
        <v>21</v>
      </c>
      <c r="B13" s="100" t="s">
        <v>231</v>
      </c>
      <c r="C13" s="101" t="s">
        <v>152</v>
      </c>
      <c r="D13" s="114" t="s">
        <v>22</v>
      </c>
      <c r="E13" s="102" t="s">
        <v>13</v>
      </c>
      <c r="F13" s="103">
        <v>573.5</v>
      </c>
      <c r="G13" s="103"/>
      <c r="H13" s="103">
        <f t="shared" si="3"/>
        <v>0</v>
      </c>
      <c r="I13" s="103">
        <f t="shared" si="4"/>
        <v>0</v>
      </c>
      <c r="J13" s="106" t="e">
        <f t="shared" si="5"/>
        <v>#DIV/0!</v>
      </c>
    </row>
    <row r="14" spans="1:10" ht="24" customHeight="1">
      <c r="A14" s="94" t="s">
        <v>23</v>
      </c>
      <c r="B14" s="95"/>
      <c r="C14" s="95"/>
      <c r="D14" s="115" t="s">
        <v>24</v>
      </c>
      <c r="E14" s="95"/>
      <c r="F14" s="105"/>
      <c r="G14" s="95"/>
      <c r="H14" s="95"/>
      <c r="I14" s="97">
        <f>SUM(I15:I26)</f>
        <v>0</v>
      </c>
      <c r="J14" s="98" t="e">
        <f>SUM(J15:J26)</f>
        <v>#DIV/0!</v>
      </c>
    </row>
    <row r="15" spans="1:10" ht="26.1" customHeight="1">
      <c r="A15" s="99" t="s">
        <v>25</v>
      </c>
      <c r="B15" s="100" t="s">
        <v>153</v>
      </c>
      <c r="C15" s="101" t="s">
        <v>152</v>
      </c>
      <c r="D15" s="114" t="s">
        <v>26</v>
      </c>
      <c r="E15" s="102" t="s">
        <v>27</v>
      </c>
      <c r="F15" s="103">
        <v>46.01</v>
      </c>
      <c r="G15" s="103"/>
      <c r="H15" s="103">
        <f t="shared" ref="H15:H25" si="6">TRUNC((G15*$J$3)+G15,2)</f>
        <v>0</v>
      </c>
      <c r="I15" s="103">
        <f t="shared" ref="I15:I25" si="7">TRUNC(F15*H15,2)</f>
        <v>0</v>
      </c>
      <c r="J15" s="106" t="e">
        <f t="shared" ref="J15:J25" si="8">I15/$I$59</f>
        <v>#DIV/0!</v>
      </c>
    </row>
    <row r="16" spans="1:10" ht="57">
      <c r="A16" s="99" t="s">
        <v>28</v>
      </c>
      <c r="B16" s="100" t="s">
        <v>29</v>
      </c>
      <c r="C16" s="101" t="s">
        <v>30</v>
      </c>
      <c r="D16" s="114" t="s">
        <v>31</v>
      </c>
      <c r="E16" s="102" t="s">
        <v>27</v>
      </c>
      <c r="F16" s="103">
        <v>59.82</v>
      </c>
      <c r="G16" s="103"/>
      <c r="H16" s="103">
        <f t="shared" si="6"/>
        <v>0</v>
      </c>
      <c r="I16" s="103">
        <f t="shared" si="7"/>
        <v>0</v>
      </c>
      <c r="J16" s="106" t="e">
        <f t="shared" si="8"/>
        <v>#DIV/0!</v>
      </c>
    </row>
    <row r="17" spans="1:10" ht="42.75">
      <c r="A17" s="99" t="s">
        <v>32</v>
      </c>
      <c r="B17" s="100" t="s">
        <v>33</v>
      </c>
      <c r="C17" s="101" t="s">
        <v>30</v>
      </c>
      <c r="D17" s="114" t="s">
        <v>34</v>
      </c>
      <c r="E17" s="102" t="s">
        <v>35</v>
      </c>
      <c r="F17" s="103">
        <f>F16*5</f>
        <v>299.10000000000002</v>
      </c>
      <c r="G17" s="103"/>
      <c r="H17" s="103">
        <f t="shared" si="6"/>
        <v>0</v>
      </c>
      <c r="I17" s="103">
        <f t="shared" si="7"/>
        <v>0</v>
      </c>
      <c r="J17" s="106" t="e">
        <f t="shared" si="8"/>
        <v>#DIV/0!</v>
      </c>
    </row>
    <row r="18" spans="1:10" ht="71.25">
      <c r="A18" s="99" t="s">
        <v>36</v>
      </c>
      <c r="B18" s="100" t="s">
        <v>37</v>
      </c>
      <c r="C18" s="101" t="s">
        <v>30</v>
      </c>
      <c r="D18" s="114" t="s">
        <v>38</v>
      </c>
      <c r="E18" s="102" t="s">
        <v>27</v>
      </c>
      <c r="F18" s="103">
        <v>1721.68</v>
      </c>
      <c r="G18" s="103"/>
      <c r="H18" s="103">
        <f t="shared" si="6"/>
        <v>0</v>
      </c>
      <c r="I18" s="103">
        <f t="shared" si="7"/>
        <v>0</v>
      </c>
      <c r="J18" s="106" t="e">
        <f t="shared" si="8"/>
        <v>#DIV/0!</v>
      </c>
    </row>
    <row r="19" spans="1:10" ht="71.25">
      <c r="A19" s="99" t="s">
        <v>39</v>
      </c>
      <c r="B19" s="100" t="s">
        <v>40</v>
      </c>
      <c r="C19" s="101" t="s">
        <v>30</v>
      </c>
      <c r="D19" s="114" t="s">
        <v>41</v>
      </c>
      <c r="E19" s="102" t="s">
        <v>27</v>
      </c>
      <c r="F19" s="103">
        <v>0</v>
      </c>
      <c r="G19" s="103"/>
      <c r="H19" s="103">
        <f t="shared" si="6"/>
        <v>0</v>
      </c>
      <c r="I19" s="103">
        <f t="shared" si="7"/>
        <v>0</v>
      </c>
      <c r="J19" s="106" t="e">
        <f t="shared" si="8"/>
        <v>#DIV/0!</v>
      </c>
    </row>
    <row r="20" spans="1:10" ht="57">
      <c r="A20" s="99" t="s">
        <v>42</v>
      </c>
      <c r="B20" s="100" t="s">
        <v>43</v>
      </c>
      <c r="C20" s="101" t="s">
        <v>30</v>
      </c>
      <c r="D20" s="114" t="s">
        <v>44</v>
      </c>
      <c r="E20" s="102" t="s">
        <v>27</v>
      </c>
      <c r="F20" s="103">
        <v>342.99</v>
      </c>
      <c r="G20" s="103"/>
      <c r="H20" s="103">
        <f t="shared" si="6"/>
        <v>0</v>
      </c>
      <c r="I20" s="103">
        <f t="shared" si="7"/>
        <v>0</v>
      </c>
      <c r="J20" s="106" t="e">
        <f t="shared" si="8"/>
        <v>#DIV/0!</v>
      </c>
    </row>
    <row r="21" spans="1:10" ht="24" customHeight="1">
      <c r="A21" s="99" t="s">
        <v>45</v>
      </c>
      <c r="B21" s="100" t="s">
        <v>232</v>
      </c>
      <c r="C21" s="101" t="s">
        <v>5</v>
      </c>
      <c r="D21" s="114" t="s">
        <v>233</v>
      </c>
      <c r="E21" s="102" t="s">
        <v>27</v>
      </c>
      <c r="F21" s="103">
        <v>342.99</v>
      </c>
      <c r="G21" s="103"/>
      <c r="H21" s="103">
        <f t="shared" si="6"/>
        <v>0</v>
      </c>
      <c r="I21" s="103">
        <f t="shared" si="7"/>
        <v>0</v>
      </c>
      <c r="J21" s="106" t="e">
        <f t="shared" si="8"/>
        <v>#DIV/0!</v>
      </c>
    </row>
    <row r="22" spans="1:10" ht="39" customHeight="1">
      <c r="A22" s="99" t="s">
        <v>46</v>
      </c>
      <c r="B22" s="100" t="s">
        <v>47</v>
      </c>
      <c r="C22" s="101" t="s">
        <v>30</v>
      </c>
      <c r="D22" s="114" t="s">
        <v>48</v>
      </c>
      <c r="E22" s="102" t="s">
        <v>9</v>
      </c>
      <c r="F22" s="103">
        <v>2295.58</v>
      </c>
      <c r="G22" s="103"/>
      <c r="H22" s="103">
        <f t="shared" si="6"/>
        <v>0</v>
      </c>
      <c r="I22" s="103">
        <f t="shared" si="7"/>
        <v>0</v>
      </c>
      <c r="J22" s="106" t="e">
        <f t="shared" si="8"/>
        <v>#DIV/0!</v>
      </c>
    </row>
    <row r="23" spans="1:10" ht="51.95" customHeight="1">
      <c r="A23" s="99" t="s">
        <v>49</v>
      </c>
      <c r="B23" s="100" t="s">
        <v>50</v>
      </c>
      <c r="C23" s="101" t="s">
        <v>30</v>
      </c>
      <c r="D23" s="114" t="s">
        <v>51</v>
      </c>
      <c r="E23" s="102" t="s">
        <v>9</v>
      </c>
      <c r="F23" s="103">
        <v>0</v>
      </c>
      <c r="G23" s="103"/>
      <c r="H23" s="103">
        <f t="shared" si="6"/>
        <v>0</v>
      </c>
      <c r="I23" s="103">
        <f t="shared" si="7"/>
        <v>0</v>
      </c>
      <c r="J23" s="106" t="e">
        <f t="shared" si="8"/>
        <v>#DIV/0!</v>
      </c>
    </row>
    <row r="24" spans="1:10" ht="24" customHeight="1">
      <c r="A24" s="99" t="s">
        <v>52</v>
      </c>
      <c r="B24" s="100">
        <v>101622</v>
      </c>
      <c r="C24" s="101" t="s">
        <v>30</v>
      </c>
      <c r="D24" s="114" t="s">
        <v>54</v>
      </c>
      <c r="E24" s="102" t="s">
        <v>27</v>
      </c>
      <c r="F24" s="103">
        <v>102.22</v>
      </c>
      <c r="G24" s="103"/>
      <c r="H24" s="103">
        <f t="shared" si="6"/>
        <v>0</v>
      </c>
      <c r="I24" s="103">
        <f t="shared" si="7"/>
        <v>0</v>
      </c>
      <c r="J24" s="106" t="e">
        <f t="shared" si="8"/>
        <v>#DIV/0!</v>
      </c>
    </row>
    <row r="25" spans="1:10" ht="33.75" customHeight="1">
      <c r="A25" s="99" t="s">
        <v>55</v>
      </c>
      <c r="B25" s="100">
        <v>94304</v>
      </c>
      <c r="C25" s="101" t="s">
        <v>30</v>
      </c>
      <c r="D25" s="114" t="s">
        <v>234</v>
      </c>
      <c r="E25" s="102" t="s">
        <v>27</v>
      </c>
      <c r="F25" s="103">
        <v>1378.69</v>
      </c>
      <c r="G25" s="103"/>
      <c r="H25" s="103">
        <f t="shared" si="6"/>
        <v>0</v>
      </c>
      <c r="I25" s="103">
        <f t="shared" si="7"/>
        <v>0</v>
      </c>
      <c r="J25" s="106" t="e">
        <f t="shared" si="8"/>
        <v>#DIV/0!</v>
      </c>
    </row>
    <row r="26" spans="1:10" ht="12.75" customHeight="1">
      <c r="A26" s="99"/>
      <c r="B26" s="100"/>
      <c r="C26" s="101"/>
      <c r="D26" s="114"/>
      <c r="E26" s="102"/>
      <c r="F26" s="103"/>
      <c r="G26" s="103"/>
      <c r="H26" s="103"/>
      <c r="I26" s="103"/>
      <c r="J26" s="106"/>
    </row>
    <row r="27" spans="1:10" ht="24" customHeight="1">
      <c r="A27" s="94" t="s">
        <v>56</v>
      </c>
      <c r="B27" s="95"/>
      <c r="C27" s="95"/>
      <c r="D27" s="115" t="s">
        <v>57</v>
      </c>
      <c r="E27" s="95"/>
      <c r="F27" s="105"/>
      <c r="G27" s="95"/>
      <c r="H27" s="95"/>
      <c r="I27" s="97">
        <f>SUM(I28:I31)</f>
        <v>0</v>
      </c>
      <c r="J27" s="98" t="e">
        <f>SUM(J28:J31)</f>
        <v>#DIV/0!</v>
      </c>
    </row>
    <row r="28" spans="1:10" ht="42.75">
      <c r="A28" s="99" t="s">
        <v>58</v>
      </c>
      <c r="B28" s="100" t="s">
        <v>59</v>
      </c>
      <c r="C28" s="101" t="s">
        <v>30</v>
      </c>
      <c r="D28" s="114" t="s">
        <v>60</v>
      </c>
      <c r="E28" s="102" t="s">
        <v>27</v>
      </c>
      <c r="F28" s="103">
        <v>138.03</v>
      </c>
      <c r="G28" s="103"/>
      <c r="H28" s="103">
        <f t="shared" ref="H28:H31" si="9">TRUNC((G28*$J$3)+G28,2)</f>
        <v>0</v>
      </c>
      <c r="I28" s="103">
        <f t="shared" ref="I28:I31" si="10">TRUNC(F28*H28,2)</f>
        <v>0</v>
      </c>
      <c r="J28" s="106" t="e">
        <f t="shared" ref="J28:J31" si="11">I28/$I$59</f>
        <v>#DIV/0!</v>
      </c>
    </row>
    <row r="29" spans="1:10" s="132" customFormat="1" ht="28.5">
      <c r="A29" s="99" t="s">
        <v>245</v>
      </c>
      <c r="B29" s="100" t="s">
        <v>235</v>
      </c>
      <c r="C29" s="101" t="s">
        <v>5</v>
      </c>
      <c r="D29" s="114" t="s">
        <v>236</v>
      </c>
      <c r="E29" s="102" t="s">
        <v>9</v>
      </c>
      <c r="F29" s="103">
        <v>920.2</v>
      </c>
      <c r="G29" s="103"/>
      <c r="H29" s="103">
        <f t="shared" ref="H29" si="12">TRUNC((G29*$J$3)+G29,2)</f>
        <v>0</v>
      </c>
      <c r="I29" s="103">
        <f t="shared" ref="I29" si="13">TRUNC(F29*H29,2)</f>
        <v>0</v>
      </c>
      <c r="J29" s="106" t="e">
        <f t="shared" ref="J29" si="14">I29/$I$59</f>
        <v>#DIV/0!</v>
      </c>
    </row>
    <row r="30" spans="1:10" ht="24" customHeight="1">
      <c r="A30" s="99" t="s">
        <v>246</v>
      </c>
      <c r="B30" s="100" t="s">
        <v>237</v>
      </c>
      <c r="C30" s="101" t="s">
        <v>5</v>
      </c>
      <c r="D30" s="114" t="s">
        <v>61</v>
      </c>
      <c r="E30" s="102" t="s">
        <v>9</v>
      </c>
      <c r="F30" s="103">
        <v>920.2</v>
      </c>
      <c r="G30" s="103"/>
      <c r="H30" s="103">
        <f t="shared" si="9"/>
        <v>0</v>
      </c>
      <c r="I30" s="103">
        <f t="shared" si="10"/>
        <v>0</v>
      </c>
      <c r="J30" s="106" t="e">
        <f t="shared" si="11"/>
        <v>#DIV/0!</v>
      </c>
    </row>
    <row r="31" spans="1:10" ht="26.1" customHeight="1">
      <c r="A31" s="99" t="s">
        <v>247</v>
      </c>
      <c r="B31" s="119" t="s">
        <v>238</v>
      </c>
      <c r="C31" s="101" t="s">
        <v>30</v>
      </c>
      <c r="D31" s="114" t="s">
        <v>239</v>
      </c>
      <c r="E31" s="102" t="s">
        <v>27</v>
      </c>
      <c r="F31" s="103">
        <v>46.01</v>
      </c>
      <c r="G31" s="103"/>
      <c r="H31" s="103">
        <f t="shared" si="9"/>
        <v>0</v>
      </c>
      <c r="I31" s="103">
        <f t="shared" si="10"/>
        <v>0</v>
      </c>
      <c r="J31" s="106" t="e">
        <f t="shared" si="11"/>
        <v>#DIV/0!</v>
      </c>
    </row>
    <row r="32" spans="1:10" ht="26.1" customHeight="1">
      <c r="A32" s="94" t="s">
        <v>62</v>
      </c>
      <c r="B32" s="95"/>
      <c r="C32" s="95"/>
      <c r="D32" s="115" t="s">
        <v>63</v>
      </c>
      <c r="E32" s="95"/>
      <c r="F32" s="105"/>
      <c r="G32" s="95"/>
      <c r="H32" s="95"/>
      <c r="I32" s="97">
        <f>SUM(I33:I42)</f>
        <v>0</v>
      </c>
      <c r="J32" s="98" t="e">
        <f>SUM(J33:J42)</f>
        <v>#DIV/0!</v>
      </c>
    </row>
    <row r="33" spans="1:10" ht="28.5">
      <c r="A33" s="99" t="s">
        <v>64</v>
      </c>
      <c r="B33" s="100"/>
      <c r="C33" s="101" t="s">
        <v>154</v>
      </c>
      <c r="D33" s="114" t="s">
        <v>65</v>
      </c>
      <c r="E33" s="102" t="s">
        <v>66</v>
      </c>
      <c r="F33" s="103">
        <v>216</v>
      </c>
      <c r="G33" s="103"/>
      <c r="H33" s="103">
        <f>TRUNC((G33*$J$4)+G33,2)</f>
        <v>0</v>
      </c>
      <c r="I33" s="103">
        <f t="shared" ref="I33:I42" si="15">TRUNC(F33*H33,2)</f>
        <v>0</v>
      </c>
      <c r="J33" s="106" t="e">
        <f t="shared" ref="J33:J42" si="16">I33/$I$59</f>
        <v>#DIV/0!</v>
      </c>
    </row>
    <row r="34" spans="1:10" ht="28.5">
      <c r="A34" s="99" t="s">
        <v>67</v>
      </c>
      <c r="B34" s="100"/>
      <c r="C34" s="101" t="s">
        <v>154</v>
      </c>
      <c r="D34" s="114" t="s">
        <v>68</v>
      </c>
      <c r="E34" s="102" t="s">
        <v>66</v>
      </c>
      <c r="F34" s="103">
        <v>0</v>
      </c>
      <c r="G34" s="103"/>
      <c r="H34" s="103">
        <f t="shared" ref="H34:H37" si="17">TRUNC((G34*$J$4)+G34,2)</f>
        <v>0</v>
      </c>
      <c r="I34" s="103">
        <f t="shared" si="15"/>
        <v>0</v>
      </c>
      <c r="J34" s="106" t="e">
        <f t="shared" si="16"/>
        <v>#DIV/0!</v>
      </c>
    </row>
    <row r="35" spans="1:10" ht="28.5">
      <c r="A35" s="99" t="s">
        <v>69</v>
      </c>
      <c r="B35" s="100"/>
      <c r="C35" s="101" t="s">
        <v>154</v>
      </c>
      <c r="D35" s="114" t="s">
        <v>70</v>
      </c>
      <c r="E35" s="102" t="s">
        <v>66</v>
      </c>
      <c r="F35" s="103">
        <v>237.5</v>
      </c>
      <c r="G35" s="103"/>
      <c r="H35" s="103">
        <f t="shared" si="17"/>
        <v>0</v>
      </c>
      <c r="I35" s="103">
        <f t="shared" si="15"/>
        <v>0</v>
      </c>
      <c r="J35" s="106" t="e">
        <f t="shared" si="16"/>
        <v>#DIV/0!</v>
      </c>
    </row>
    <row r="36" spans="1:10" ht="28.5">
      <c r="A36" s="99" t="s">
        <v>71</v>
      </c>
      <c r="B36" s="100"/>
      <c r="C36" s="101" t="s">
        <v>154</v>
      </c>
      <c r="D36" s="114" t="s">
        <v>72</v>
      </c>
      <c r="E36" s="102" t="s">
        <v>66</v>
      </c>
      <c r="F36" s="103">
        <v>120</v>
      </c>
      <c r="G36" s="103"/>
      <c r="H36" s="103">
        <f t="shared" si="17"/>
        <v>0</v>
      </c>
      <c r="I36" s="103">
        <f t="shared" si="15"/>
        <v>0</v>
      </c>
      <c r="J36" s="106" t="e">
        <f t="shared" si="16"/>
        <v>#DIV/0!</v>
      </c>
    </row>
    <row r="37" spans="1:10" ht="28.5">
      <c r="A37" s="99" t="s">
        <v>73</v>
      </c>
      <c r="B37" s="100"/>
      <c r="C37" s="101" t="s">
        <v>154</v>
      </c>
      <c r="D37" s="114" t="s">
        <v>74</v>
      </c>
      <c r="E37" s="102" t="s">
        <v>66</v>
      </c>
      <c r="F37" s="103">
        <v>0</v>
      </c>
      <c r="G37" s="103"/>
      <c r="H37" s="103">
        <f t="shared" si="17"/>
        <v>0</v>
      </c>
      <c r="I37" s="103">
        <f t="shared" si="15"/>
        <v>0</v>
      </c>
      <c r="J37" s="106" t="e">
        <f t="shared" si="16"/>
        <v>#DIV/0!</v>
      </c>
    </row>
    <row r="38" spans="1:10" ht="42.75">
      <c r="A38" s="99" t="s">
        <v>75</v>
      </c>
      <c r="B38" s="100" t="s">
        <v>76</v>
      </c>
      <c r="C38" s="101" t="s">
        <v>30</v>
      </c>
      <c r="D38" s="114" t="s">
        <v>77</v>
      </c>
      <c r="E38" s="102" t="s">
        <v>13</v>
      </c>
      <c r="F38" s="103">
        <v>216</v>
      </c>
      <c r="G38" s="103"/>
      <c r="H38" s="103">
        <f t="shared" ref="H38:H42" si="18">TRUNC((G38*$J$3)+G38,2)</f>
        <v>0</v>
      </c>
      <c r="I38" s="103">
        <f t="shared" si="15"/>
        <v>0</v>
      </c>
      <c r="J38" s="106" t="e">
        <f t="shared" si="16"/>
        <v>#DIV/0!</v>
      </c>
    </row>
    <row r="39" spans="1:10" ht="57">
      <c r="A39" s="99" t="s">
        <v>78</v>
      </c>
      <c r="B39" s="100" t="s">
        <v>79</v>
      </c>
      <c r="C39" s="101" t="s">
        <v>30</v>
      </c>
      <c r="D39" s="114" t="s">
        <v>80</v>
      </c>
      <c r="E39" s="102" t="s">
        <v>13</v>
      </c>
      <c r="F39" s="103">
        <v>0</v>
      </c>
      <c r="G39" s="103"/>
      <c r="H39" s="103">
        <f t="shared" si="18"/>
        <v>0</v>
      </c>
      <c r="I39" s="103">
        <f t="shared" si="15"/>
        <v>0</v>
      </c>
      <c r="J39" s="106" t="e">
        <f t="shared" si="16"/>
        <v>#DIV/0!</v>
      </c>
    </row>
    <row r="40" spans="1:10" ht="51.95" customHeight="1">
      <c r="A40" s="99" t="s">
        <v>81</v>
      </c>
      <c r="B40" s="100" t="s">
        <v>82</v>
      </c>
      <c r="C40" s="101" t="s">
        <v>30</v>
      </c>
      <c r="D40" s="114" t="s">
        <v>83</v>
      </c>
      <c r="E40" s="102" t="s">
        <v>13</v>
      </c>
      <c r="F40" s="103">
        <v>237.5</v>
      </c>
      <c r="G40" s="103"/>
      <c r="H40" s="103">
        <f t="shared" si="18"/>
        <v>0</v>
      </c>
      <c r="I40" s="103">
        <f t="shared" si="15"/>
        <v>0</v>
      </c>
      <c r="J40" s="106" t="e">
        <f t="shared" si="16"/>
        <v>#DIV/0!</v>
      </c>
    </row>
    <row r="41" spans="1:10" ht="51.95" customHeight="1">
      <c r="A41" s="99" t="s">
        <v>84</v>
      </c>
      <c r="B41" s="100" t="s">
        <v>85</v>
      </c>
      <c r="C41" s="101" t="s">
        <v>30</v>
      </c>
      <c r="D41" s="114" t="s">
        <v>86</v>
      </c>
      <c r="E41" s="102" t="s">
        <v>13</v>
      </c>
      <c r="F41" s="103">
        <v>120</v>
      </c>
      <c r="G41" s="103"/>
      <c r="H41" s="103">
        <f t="shared" si="18"/>
        <v>0</v>
      </c>
      <c r="I41" s="103">
        <f t="shared" si="15"/>
        <v>0</v>
      </c>
      <c r="J41" s="106" t="e">
        <f t="shared" si="16"/>
        <v>#DIV/0!</v>
      </c>
    </row>
    <row r="42" spans="1:10" ht="51.95" customHeight="1">
      <c r="A42" s="99" t="s">
        <v>87</v>
      </c>
      <c r="B42" s="100" t="s">
        <v>88</v>
      </c>
      <c r="C42" s="101" t="s">
        <v>30</v>
      </c>
      <c r="D42" s="114" t="s">
        <v>89</v>
      </c>
      <c r="E42" s="102" t="s">
        <v>13</v>
      </c>
      <c r="F42" s="103">
        <v>0</v>
      </c>
      <c r="G42" s="103"/>
      <c r="H42" s="103">
        <f t="shared" si="18"/>
        <v>0</v>
      </c>
      <c r="I42" s="103">
        <f t="shared" si="15"/>
        <v>0</v>
      </c>
      <c r="J42" s="106" t="e">
        <f t="shared" si="16"/>
        <v>#DIV/0!</v>
      </c>
    </row>
    <row r="43" spans="1:10" ht="26.1" customHeight="1">
      <c r="A43" s="94" t="s">
        <v>90</v>
      </c>
      <c r="B43" s="95"/>
      <c r="C43" s="95"/>
      <c r="D43" s="115" t="s">
        <v>91</v>
      </c>
      <c r="E43" s="95"/>
      <c r="F43" s="105"/>
      <c r="G43" s="95"/>
      <c r="H43" s="95"/>
      <c r="I43" s="97">
        <f>SUM(I44:I46)</f>
        <v>0</v>
      </c>
      <c r="J43" s="98" t="e">
        <f>SUM(J44:J46)</f>
        <v>#DIV/0!</v>
      </c>
    </row>
    <row r="44" spans="1:10" ht="28.5">
      <c r="A44" s="99" t="s">
        <v>92</v>
      </c>
      <c r="B44" s="100" t="s">
        <v>240</v>
      </c>
      <c r="C44" s="101" t="s">
        <v>30</v>
      </c>
      <c r="D44" s="114" t="s">
        <v>224</v>
      </c>
      <c r="E44" s="102" t="s">
        <v>93</v>
      </c>
      <c r="F44" s="103">
        <v>1</v>
      </c>
      <c r="G44" s="103"/>
      <c r="H44" s="103">
        <f t="shared" ref="H44:H46" si="19">TRUNC((G44*$J$3)+G44,2)</f>
        <v>0</v>
      </c>
      <c r="I44" s="103">
        <f t="shared" ref="I44:I46" si="20">TRUNC(F44*H44,2)</f>
        <v>0</v>
      </c>
      <c r="J44" s="106" t="e">
        <f t="shared" ref="J44:J46" si="21">I44/$I$59</f>
        <v>#DIV/0!</v>
      </c>
    </row>
    <row r="45" spans="1:10" ht="42.75">
      <c r="A45" s="99" t="s">
        <v>94</v>
      </c>
      <c r="B45" s="100" t="s">
        <v>241</v>
      </c>
      <c r="C45" s="101" t="s">
        <v>30</v>
      </c>
      <c r="D45" s="114" t="s">
        <v>225</v>
      </c>
      <c r="E45" s="102" t="s">
        <v>93</v>
      </c>
      <c r="F45" s="103">
        <v>7</v>
      </c>
      <c r="G45" s="103"/>
      <c r="H45" s="103">
        <f t="shared" si="19"/>
        <v>0</v>
      </c>
      <c r="I45" s="103">
        <f t="shared" si="20"/>
        <v>0</v>
      </c>
      <c r="J45" s="106" t="e">
        <f t="shared" si="21"/>
        <v>#DIV/0!</v>
      </c>
    </row>
    <row r="46" spans="1:10" ht="42.75">
      <c r="A46" s="99" t="s">
        <v>95</v>
      </c>
      <c r="B46" s="100" t="s">
        <v>242</v>
      </c>
      <c r="C46" s="101" t="s">
        <v>30</v>
      </c>
      <c r="D46" s="114" t="s">
        <v>226</v>
      </c>
      <c r="E46" s="102" t="s">
        <v>93</v>
      </c>
      <c r="F46" s="103">
        <v>0</v>
      </c>
      <c r="G46" s="103"/>
      <c r="H46" s="103">
        <f t="shared" si="19"/>
        <v>0</v>
      </c>
      <c r="I46" s="103">
        <f t="shared" si="20"/>
        <v>0</v>
      </c>
      <c r="J46" s="106" t="e">
        <f t="shared" si="21"/>
        <v>#DIV/0!</v>
      </c>
    </row>
    <row r="47" spans="1:10" ht="24" customHeight="1">
      <c r="A47" s="94" t="s">
        <v>96</v>
      </c>
      <c r="B47" s="95"/>
      <c r="C47" s="95"/>
      <c r="D47" s="115" t="s">
        <v>97</v>
      </c>
      <c r="E47" s="95"/>
      <c r="F47" s="105"/>
      <c r="G47" s="95"/>
      <c r="H47" s="95"/>
      <c r="I47" s="97">
        <f>SUM(I48:I49)</f>
        <v>0</v>
      </c>
      <c r="J47" s="98" t="e">
        <f>SUM(J48:J49)</f>
        <v>#DIV/0!</v>
      </c>
    </row>
    <row r="48" spans="1:10" ht="42.75">
      <c r="A48" s="99" t="s">
        <v>98</v>
      </c>
      <c r="B48" s="100" t="s">
        <v>99</v>
      </c>
      <c r="C48" s="101" t="s">
        <v>30</v>
      </c>
      <c r="D48" s="114" t="s">
        <v>100</v>
      </c>
      <c r="E48" s="102" t="s">
        <v>101</v>
      </c>
      <c r="F48" s="103">
        <v>9</v>
      </c>
      <c r="G48" s="103"/>
      <c r="H48" s="103">
        <f t="shared" ref="H48:H49" si="22">TRUNC((G48*$J$3)+G48,2)</f>
        <v>0</v>
      </c>
      <c r="I48" s="103">
        <f t="shared" ref="I48:I49" si="23">TRUNC(F48*H48,2)</f>
        <v>0</v>
      </c>
      <c r="J48" s="106" t="e">
        <f t="shared" ref="J48:J49" si="24">I48/$I$59</f>
        <v>#DIV/0!</v>
      </c>
    </row>
    <row r="49" spans="1:11" ht="42.75">
      <c r="A49" s="99" t="s">
        <v>102</v>
      </c>
      <c r="B49" s="100" t="s">
        <v>103</v>
      </c>
      <c r="C49" s="101" t="s">
        <v>30</v>
      </c>
      <c r="D49" s="114" t="s">
        <v>104</v>
      </c>
      <c r="E49" s="102" t="s">
        <v>101</v>
      </c>
      <c r="F49" s="103">
        <v>8</v>
      </c>
      <c r="G49" s="103"/>
      <c r="H49" s="103">
        <f t="shared" si="22"/>
        <v>0</v>
      </c>
      <c r="I49" s="103">
        <f t="shared" si="23"/>
        <v>0</v>
      </c>
      <c r="J49" s="106" t="e">
        <f t="shared" si="24"/>
        <v>#DIV/0!</v>
      </c>
    </row>
    <row r="50" spans="1:11" ht="24" customHeight="1">
      <c r="A50" s="94" t="s">
        <v>105</v>
      </c>
      <c r="B50" s="95"/>
      <c r="C50" s="95"/>
      <c r="D50" s="115" t="s">
        <v>106</v>
      </c>
      <c r="E50" s="95"/>
      <c r="F50" s="105"/>
      <c r="G50" s="95"/>
      <c r="H50" s="95"/>
      <c r="I50" s="97">
        <f>SUM(I51:I55)</f>
        <v>0</v>
      </c>
      <c r="J50" s="98" t="e">
        <f>SUM(J51:J55)</f>
        <v>#DIV/0!</v>
      </c>
    </row>
    <row r="51" spans="1:11" ht="28.5">
      <c r="A51" s="99" t="s">
        <v>107</v>
      </c>
      <c r="B51" s="100" t="s">
        <v>108</v>
      </c>
      <c r="C51" s="101" t="s">
        <v>109</v>
      </c>
      <c r="D51" s="114" t="s">
        <v>110</v>
      </c>
      <c r="E51" s="102" t="s">
        <v>93</v>
      </c>
      <c r="F51" s="103">
        <v>5</v>
      </c>
      <c r="G51" s="103"/>
      <c r="H51" s="103">
        <f t="shared" ref="H51:H55" si="25">TRUNC((G51*$J$3)+G51,2)</f>
        <v>0</v>
      </c>
      <c r="I51" s="103">
        <f t="shared" ref="I51:I55" si="26">TRUNC(F51*H51,2)</f>
        <v>0</v>
      </c>
      <c r="J51" s="106" t="e">
        <f t="shared" ref="J51:J55" si="27">I51/$I$59</f>
        <v>#DIV/0!</v>
      </c>
    </row>
    <row r="52" spans="1:11" ht="28.5">
      <c r="A52" s="99" t="s">
        <v>111</v>
      </c>
      <c r="B52" s="100" t="s">
        <v>112</v>
      </c>
      <c r="C52" s="101" t="s">
        <v>113</v>
      </c>
      <c r="D52" s="114" t="s">
        <v>227</v>
      </c>
      <c r="E52" s="102" t="s">
        <v>101</v>
      </c>
      <c r="F52" s="103">
        <v>12</v>
      </c>
      <c r="G52" s="103"/>
      <c r="H52" s="103">
        <f t="shared" si="25"/>
        <v>0</v>
      </c>
      <c r="I52" s="103">
        <f t="shared" si="26"/>
        <v>0</v>
      </c>
      <c r="J52" s="106" t="e">
        <f t="shared" si="27"/>
        <v>#DIV/0!</v>
      </c>
    </row>
    <row r="53" spans="1:11" ht="28.5">
      <c r="A53" s="99" t="s">
        <v>114</v>
      </c>
      <c r="B53" s="100" t="s">
        <v>115</v>
      </c>
      <c r="C53" s="101" t="s">
        <v>113</v>
      </c>
      <c r="D53" s="114" t="s">
        <v>228</v>
      </c>
      <c r="E53" s="102" t="s">
        <v>101</v>
      </c>
      <c r="F53" s="103">
        <v>15</v>
      </c>
      <c r="G53" s="103"/>
      <c r="H53" s="103">
        <f t="shared" si="25"/>
        <v>0</v>
      </c>
      <c r="I53" s="103">
        <f t="shared" si="26"/>
        <v>0</v>
      </c>
      <c r="J53" s="106" t="e">
        <f t="shared" si="27"/>
        <v>#DIV/0!</v>
      </c>
    </row>
    <row r="54" spans="1:11" ht="28.5">
      <c r="A54" s="99" t="s">
        <v>116</v>
      </c>
      <c r="B54" s="100" t="s">
        <v>117</v>
      </c>
      <c r="C54" s="101" t="s">
        <v>109</v>
      </c>
      <c r="D54" s="114" t="s">
        <v>118</v>
      </c>
      <c r="E54" s="102" t="s">
        <v>66</v>
      </c>
      <c r="F54" s="103">
        <v>15</v>
      </c>
      <c r="G54" s="103"/>
      <c r="H54" s="103">
        <f t="shared" si="25"/>
        <v>0</v>
      </c>
      <c r="I54" s="103">
        <f t="shared" si="26"/>
        <v>0</v>
      </c>
      <c r="J54" s="106" t="e">
        <f t="shared" si="27"/>
        <v>#DIV/0!</v>
      </c>
    </row>
    <row r="55" spans="1:11" ht="28.5">
      <c r="A55" s="99" t="s">
        <v>119</v>
      </c>
      <c r="B55" s="100" t="s">
        <v>120</v>
      </c>
      <c r="C55" s="101" t="s">
        <v>109</v>
      </c>
      <c r="D55" s="114" t="s">
        <v>121</v>
      </c>
      <c r="E55" s="102" t="s">
        <v>93</v>
      </c>
      <c r="F55" s="103">
        <v>8</v>
      </c>
      <c r="G55" s="103"/>
      <c r="H55" s="103">
        <f t="shared" si="25"/>
        <v>0</v>
      </c>
      <c r="I55" s="103">
        <f t="shared" si="26"/>
        <v>0</v>
      </c>
      <c r="J55" s="106" t="e">
        <f t="shared" si="27"/>
        <v>#DIV/0!</v>
      </c>
    </row>
    <row r="56" spans="1:11" ht="24" customHeight="1">
      <c r="A56" s="94" t="s">
        <v>122</v>
      </c>
      <c r="B56" s="95"/>
      <c r="C56" s="95"/>
      <c r="D56" s="95" t="s">
        <v>123</v>
      </c>
      <c r="E56" s="95"/>
      <c r="F56" s="105"/>
      <c r="G56" s="95"/>
      <c r="H56" s="95"/>
      <c r="I56" s="97">
        <f>SUM(I57)</f>
        <v>0</v>
      </c>
      <c r="J56" s="98" t="e">
        <f>SUM(J57)</f>
        <v>#DIV/0!</v>
      </c>
    </row>
    <row r="57" spans="1:11" ht="24" customHeight="1">
      <c r="A57" s="107" t="s">
        <v>124</v>
      </c>
      <c r="B57" s="108" t="s">
        <v>244</v>
      </c>
      <c r="C57" s="109" t="s">
        <v>5</v>
      </c>
      <c r="D57" s="109" t="s">
        <v>126</v>
      </c>
      <c r="E57" s="110" t="s">
        <v>9</v>
      </c>
      <c r="F57" s="111">
        <v>920.2</v>
      </c>
      <c r="G57" s="111"/>
      <c r="H57" s="111">
        <f>TRUNC((G57*$J$3)+G57,2)</f>
        <v>0</v>
      </c>
      <c r="I57" s="111">
        <f>TRUNC(F57*H57,2)</f>
        <v>0</v>
      </c>
      <c r="J57" s="122" t="e">
        <f>I57/$I$59</f>
        <v>#DIV/0!</v>
      </c>
    </row>
    <row r="58" spans="1:11" ht="15" thickBot="1">
      <c r="A58" s="112"/>
      <c r="B58" s="112"/>
      <c r="C58" s="112"/>
      <c r="D58" s="112"/>
      <c r="E58" s="112"/>
      <c r="F58" s="112"/>
      <c r="G58" s="112"/>
      <c r="H58" s="112"/>
      <c r="I58" s="112"/>
      <c r="J58" s="123"/>
    </row>
    <row r="59" spans="1:11" ht="21" customHeight="1" thickBot="1">
      <c r="A59" s="159" t="s">
        <v>211</v>
      </c>
      <c r="B59" s="159"/>
      <c r="C59" s="159"/>
      <c r="D59" s="159"/>
      <c r="E59" s="159"/>
      <c r="F59" s="159"/>
      <c r="G59" s="159"/>
      <c r="H59" s="159"/>
      <c r="I59" s="116">
        <f>SUM(I6:I57)/2</f>
        <v>0</v>
      </c>
      <c r="J59" s="117" t="e">
        <f>SUM(J6:J57)/2</f>
        <v>#DIV/0!</v>
      </c>
    </row>
    <row r="60" spans="1:11" ht="15">
      <c r="A60" s="113"/>
      <c r="B60" s="113"/>
      <c r="C60" s="113"/>
      <c r="D60" s="113"/>
      <c r="E60" s="113"/>
      <c r="F60" s="157"/>
      <c r="G60" s="158"/>
      <c r="H60" s="113"/>
      <c r="I60" s="113"/>
      <c r="J60" s="113"/>
    </row>
    <row r="61" spans="1:11" ht="21.75" customHeight="1">
      <c r="A61" s="160" t="s">
        <v>155</v>
      </c>
      <c r="B61" s="161"/>
      <c r="C61" s="161"/>
      <c r="D61" s="161"/>
      <c r="E61" s="161"/>
      <c r="F61" s="161"/>
      <c r="G61" s="161"/>
      <c r="H61" s="161"/>
      <c r="I61" s="161"/>
      <c r="J61" s="161"/>
    </row>
    <row r="62" spans="1:11">
      <c r="K62" s="120"/>
    </row>
    <row r="63" spans="1:11">
      <c r="F63" s="155"/>
      <c r="G63" s="154"/>
      <c r="H63" s="156"/>
      <c r="I63" s="154"/>
      <c r="J63" s="154"/>
    </row>
    <row r="64" spans="1:11">
      <c r="F64" s="155"/>
      <c r="G64" s="154"/>
      <c r="H64" s="156"/>
      <c r="I64" s="154"/>
      <c r="J64" s="154"/>
    </row>
    <row r="65" spans="6:10">
      <c r="F65" s="155"/>
      <c r="G65" s="154"/>
      <c r="H65" s="156"/>
      <c r="I65" s="154"/>
      <c r="J65" s="154"/>
    </row>
    <row r="66" spans="6:10">
      <c r="J66" s="124" t="e">
        <f>J56+J50+J47+J43+J32+J27+J14+J11+J6</f>
        <v>#DIV/0!</v>
      </c>
    </row>
  </sheetData>
  <mergeCells count="15">
    <mergeCell ref="F65:G65"/>
    <mergeCell ref="H65:J65"/>
    <mergeCell ref="A59:H59"/>
    <mergeCell ref="F60:G60"/>
    <mergeCell ref="A61:J61"/>
    <mergeCell ref="F63:G63"/>
    <mergeCell ref="H63:J63"/>
    <mergeCell ref="F64:G64"/>
    <mergeCell ref="H64:J64"/>
    <mergeCell ref="A1:C2"/>
    <mergeCell ref="D1:J1"/>
    <mergeCell ref="D2:J2"/>
    <mergeCell ref="B3:F3"/>
    <mergeCell ref="G3:H4"/>
    <mergeCell ref="B4:F4"/>
  </mergeCells>
  <pageMargins left="0.51181102362204722" right="0.51181102362204722" top="0.78740157480314965" bottom="0.78740157480314965" header="0.31496062992125984" footer="0.51181102362204722"/>
  <pageSetup paperSize="9" scale="56" fitToHeight="0" orientation="portrait" r:id="rId1"/>
  <headerFooter>
    <oddHeader>&amp;RProcesso nº. 7038/23
Fls.______ Rubrica ____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OutlineSymbols="0" showWhiteSpace="0" workbookViewId="0">
      <selection activeCell="B3" sqref="B3:F3"/>
    </sheetView>
  </sheetViews>
  <sheetFormatPr defaultRowHeight="14.25"/>
  <cols>
    <col min="1" max="2" width="10" style="3" bestFit="1" customWidth="1"/>
    <col min="3" max="3" width="10.5" style="3" bestFit="1" customWidth="1"/>
    <col min="4" max="4" width="60" style="3" bestFit="1" customWidth="1"/>
    <col min="5" max="5" width="8" style="3" bestFit="1" customWidth="1"/>
    <col min="6" max="6" width="7.875" style="3" bestFit="1" customWidth="1"/>
    <col min="7" max="7" width="11.625" style="3" customWidth="1"/>
    <col min="8" max="8" width="10.75" style="3" customWidth="1"/>
    <col min="9" max="9" width="11.375" style="3" customWidth="1"/>
    <col min="10" max="10" width="10.25" style="3" customWidth="1"/>
    <col min="11" max="16384" width="9" style="3"/>
  </cols>
  <sheetData>
    <row r="1" spans="1:10" ht="48" customHeight="1">
      <c r="A1" s="144"/>
      <c r="B1" s="145"/>
      <c r="C1" s="146"/>
      <c r="D1" s="150" t="s">
        <v>128</v>
      </c>
      <c r="E1" s="150"/>
      <c r="F1" s="150"/>
      <c r="G1" s="150"/>
      <c r="H1" s="150"/>
      <c r="I1" s="150"/>
      <c r="J1" s="151"/>
    </row>
    <row r="2" spans="1:10" ht="42.75" customHeight="1">
      <c r="A2" s="147"/>
      <c r="B2" s="148"/>
      <c r="C2" s="149"/>
      <c r="D2" s="152" t="s">
        <v>248</v>
      </c>
      <c r="E2" s="152"/>
      <c r="F2" s="152"/>
      <c r="G2" s="152"/>
      <c r="H2" s="152"/>
      <c r="I2" s="152"/>
      <c r="J2" s="153"/>
    </row>
    <row r="3" spans="1:10" ht="32.25" customHeight="1">
      <c r="A3" s="9" t="s">
        <v>129</v>
      </c>
      <c r="B3" s="143" t="s">
        <v>148</v>
      </c>
      <c r="C3" s="143"/>
      <c r="D3" s="143"/>
      <c r="E3" s="143"/>
      <c r="F3" s="143"/>
      <c r="G3" s="141" t="s">
        <v>146</v>
      </c>
      <c r="H3" s="141"/>
      <c r="I3" s="10" t="s">
        <v>147</v>
      </c>
      <c r="J3" s="11">
        <v>0.25</v>
      </c>
    </row>
    <row r="4" spans="1:10" ht="28.5" customHeight="1">
      <c r="A4" s="9" t="s">
        <v>130</v>
      </c>
      <c r="B4" s="142" t="s">
        <v>214</v>
      </c>
      <c r="C4" s="142"/>
      <c r="D4" s="142"/>
      <c r="E4" s="142"/>
      <c r="F4" s="142"/>
      <c r="G4" s="141"/>
      <c r="H4" s="141"/>
      <c r="I4" s="7" t="s">
        <v>150</v>
      </c>
      <c r="J4" s="8">
        <v>0.16</v>
      </c>
    </row>
    <row r="5" spans="1:10" ht="30" customHeight="1">
      <c r="A5" s="4" t="s">
        <v>131</v>
      </c>
      <c r="B5" s="4" t="s">
        <v>132</v>
      </c>
      <c r="C5" s="4" t="s">
        <v>139</v>
      </c>
      <c r="D5" s="4" t="s">
        <v>133</v>
      </c>
      <c r="E5" s="4" t="s">
        <v>134</v>
      </c>
      <c r="F5" s="5" t="s">
        <v>135</v>
      </c>
      <c r="G5" s="6" t="s">
        <v>136</v>
      </c>
      <c r="H5" s="6" t="s">
        <v>137</v>
      </c>
      <c r="I5" s="4" t="s">
        <v>138</v>
      </c>
      <c r="J5" s="4" t="s">
        <v>140</v>
      </c>
    </row>
    <row r="6" spans="1:10" ht="24" customHeight="1">
      <c r="A6" s="94" t="s">
        <v>176</v>
      </c>
      <c r="B6" s="95"/>
      <c r="C6" s="95"/>
      <c r="D6" s="95" t="s">
        <v>2</v>
      </c>
      <c r="E6" s="95"/>
      <c r="F6" s="96"/>
      <c r="G6" s="95"/>
      <c r="H6" s="95"/>
      <c r="I6" s="97">
        <f>SUM(I7:I10)</f>
        <v>0</v>
      </c>
      <c r="J6" s="98" t="e">
        <f>SUM(J7:J10)</f>
        <v>#DIV/0!</v>
      </c>
    </row>
    <row r="7" spans="1:10" ht="39" customHeight="1">
      <c r="A7" s="99" t="s">
        <v>3</v>
      </c>
      <c r="B7" s="100" t="s">
        <v>4</v>
      </c>
      <c r="C7" s="101" t="s">
        <v>5</v>
      </c>
      <c r="D7" s="114" t="s">
        <v>6</v>
      </c>
      <c r="E7" s="102" t="s">
        <v>7</v>
      </c>
      <c r="F7" s="103">
        <v>0</v>
      </c>
      <c r="G7" s="103"/>
      <c r="H7" s="103">
        <f>TRUNC((G7*$J$3)+G7,2)</f>
        <v>0</v>
      </c>
      <c r="I7" s="103">
        <f>TRUNC(F7*H7,2)</f>
        <v>0</v>
      </c>
      <c r="J7" s="104" t="e">
        <f>I7/$I$59</f>
        <v>#DIV/0!</v>
      </c>
    </row>
    <row r="8" spans="1:10" ht="24" customHeight="1">
      <c r="A8" s="99" t="s">
        <v>8</v>
      </c>
      <c r="B8" s="100" t="s">
        <v>229</v>
      </c>
      <c r="C8" s="101" t="s">
        <v>152</v>
      </c>
      <c r="D8" s="114" t="s">
        <v>230</v>
      </c>
      <c r="E8" s="102" t="s">
        <v>9</v>
      </c>
      <c r="F8" s="103">
        <v>0</v>
      </c>
      <c r="G8" s="103"/>
      <c r="H8" s="103">
        <f t="shared" ref="H8:H10" si="0">TRUNC((G8*$J$3)+G8,2)</f>
        <v>0</v>
      </c>
      <c r="I8" s="103">
        <f t="shared" ref="I8:I10" si="1">TRUNC(F8*H8,2)</f>
        <v>0</v>
      </c>
      <c r="J8" s="104" t="e">
        <f t="shared" ref="J8:J10" si="2">I8/$I$59</f>
        <v>#DIV/0!</v>
      </c>
    </row>
    <row r="9" spans="1:10" ht="24" customHeight="1">
      <c r="A9" s="99" t="s">
        <v>10</v>
      </c>
      <c r="B9" s="133" t="s">
        <v>11</v>
      </c>
      <c r="C9" s="134" t="s">
        <v>151</v>
      </c>
      <c r="D9" s="114" t="s">
        <v>12</v>
      </c>
      <c r="E9" s="102" t="s">
        <v>13</v>
      </c>
      <c r="F9" s="103">
        <v>100</v>
      </c>
      <c r="G9" s="103"/>
      <c r="H9" s="103">
        <f t="shared" si="0"/>
        <v>0</v>
      </c>
      <c r="I9" s="103">
        <f t="shared" si="1"/>
        <v>0</v>
      </c>
      <c r="J9" s="104" t="e">
        <f t="shared" si="2"/>
        <v>#DIV/0!</v>
      </c>
    </row>
    <row r="10" spans="1:10" ht="24" customHeight="1">
      <c r="A10" s="99" t="s">
        <v>14</v>
      </c>
      <c r="B10" s="133" t="s">
        <v>15</v>
      </c>
      <c r="C10" s="134" t="s">
        <v>151</v>
      </c>
      <c r="D10" s="114" t="s">
        <v>16</v>
      </c>
      <c r="E10" s="102" t="s">
        <v>13</v>
      </c>
      <c r="F10" s="103">
        <v>70</v>
      </c>
      <c r="G10" s="103"/>
      <c r="H10" s="103">
        <f t="shared" si="0"/>
        <v>0</v>
      </c>
      <c r="I10" s="103">
        <f t="shared" si="1"/>
        <v>0</v>
      </c>
      <c r="J10" s="104" t="e">
        <f t="shared" si="2"/>
        <v>#DIV/0!</v>
      </c>
    </row>
    <row r="11" spans="1:10" ht="24" customHeight="1">
      <c r="A11" s="94" t="s">
        <v>17</v>
      </c>
      <c r="B11" s="95"/>
      <c r="C11" s="95"/>
      <c r="D11" s="115" t="s">
        <v>18</v>
      </c>
      <c r="E11" s="95"/>
      <c r="F11" s="105"/>
      <c r="G11" s="95"/>
      <c r="H11" s="95"/>
      <c r="I11" s="97">
        <f>SUM(I12:I13)</f>
        <v>0</v>
      </c>
      <c r="J11" s="98" t="e">
        <f>SUM(J12:J13)</f>
        <v>#DIV/0!</v>
      </c>
    </row>
    <row r="12" spans="1:10" ht="28.5">
      <c r="A12" s="99" t="s">
        <v>19</v>
      </c>
      <c r="B12" s="100" t="s">
        <v>231</v>
      </c>
      <c r="C12" s="101" t="s">
        <v>152</v>
      </c>
      <c r="D12" s="114" t="s">
        <v>20</v>
      </c>
      <c r="E12" s="102" t="s">
        <v>13</v>
      </c>
      <c r="F12" s="103">
        <v>205</v>
      </c>
      <c r="G12" s="103"/>
      <c r="H12" s="103">
        <f t="shared" ref="H12:H13" si="3">TRUNC((G12*$J$3)+G12,2)</f>
        <v>0</v>
      </c>
      <c r="I12" s="103">
        <f t="shared" ref="I12:I13" si="4">TRUNC(F12*H12,2)</f>
        <v>0</v>
      </c>
      <c r="J12" s="106" t="e">
        <f t="shared" ref="J12:J13" si="5">I12/$I$59</f>
        <v>#DIV/0!</v>
      </c>
    </row>
    <row r="13" spans="1:10" ht="28.5">
      <c r="A13" s="99" t="s">
        <v>21</v>
      </c>
      <c r="B13" s="100" t="s">
        <v>231</v>
      </c>
      <c r="C13" s="101" t="s">
        <v>152</v>
      </c>
      <c r="D13" s="114" t="s">
        <v>22</v>
      </c>
      <c r="E13" s="102" t="s">
        <v>13</v>
      </c>
      <c r="F13" s="103">
        <v>205</v>
      </c>
      <c r="G13" s="103"/>
      <c r="H13" s="103">
        <f t="shared" si="3"/>
        <v>0</v>
      </c>
      <c r="I13" s="103">
        <f t="shared" si="4"/>
        <v>0</v>
      </c>
      <c r="J13" s="106" t="e">
        <f t="shared" si="5"/>
        <v>#DIV/0!</v>
      </c>
    </row>
    <row r="14" spans="1:10" ht="24" customHeight="1">
      <c r="A14" s="94" t="s">
        <v>23</v>
      </c>
      <c r="B14" s="95"/>
      <c r="C14" s="95"/>
      <c r="D14" s="115" t="s">
        <v>24</v>
      </c>
      <c r="E14" s="95"/>
      <c r="F14" s="105"/>
      <c r="G14" s="95"/>
      <c r="H14" s="95"/>
      <c r="I14" s="97">
        <f>SUM(I15:I26)</f>
        <v>0</v>
      </c>
      <c r="J14" s="98" t="e">
        <f>SUM(J15:J26)</f>
        <v>#DIV/0!</v>
      </c>
    </row>
    <row r="15" spans="1:10" ht="26.1" customHeight="1">
      <c r="A15" s="99" t="s">
        <v>25</v>
      </c>
      <c r="B15" s="100" t="s">
        <v>153</v>
      </c>
      <c r="C15" s="101" t="s">
        <v>152</v>
      </c>
      <c r="D15" s="114" t="s">
        <v>26</v>
      </c>
      <c r="E15" s="102" t="s">
        <v>27</v>
      </c>
      <c r="F15" s="103">
        <v>15.38</v>
      </c>
      <c r="G15" s="103"/>
      <c r="H15" s="103">
        <f t="shared" ref="H15:H25" si="6">TRUNC((G15*$J$3)+G15,2)</f>
        <v>0</v>
      </c>
      <c r="I15" s="103">
        <f t="shared" ref="I15:I25" si="7">TRUNC(F15*H15,2)</f>
        <v>0</v>
      </c>
      <c r="J15" s="106" t="e">
        <f t="shared" ref="J15:J25" si="8">I15/$I$59</f>
        <v>#DIV/0!</v>
      </c>
    </row>
    <row r="16" spans="1:10" ht="57">
      <c r="A16" s="99" t="s">
        <v>28</v>
      </c>
      <c r="B16" s="100" t="s">
        <v>29</v>
      </c>
      <c r="C16" s="101" t="s">
        <v>30</v>
      </c>
      <c r="D16" s="114" t="s">
        <v>31</v>
      </c>
      <c r="E16" s="102" t="s">
        <v>27</v>
      </c>
      <c r="F16" s="103">
        <v>19.989999999999998</v>
      </c>
      <c r="G16" s="103"/>
      <c r="H16" s="103">
        <f t="shared" si="6"/>
        <v>0</v>
      </c>
      <c r="I16" s="103">
        <f t="shared" si="7"/>
        <v>0</v>
      </c>
      <c r="J16" s="106" t="e">
        <f t="shared" si="8"/>
        <v>#DIV/0!</v>
      </c>
    </row>
    <row r="17" spans="1:10" ht="42.75">
      <c r="A17" s="99" t="s">
        <v>32</v>
      </c>
      <c r="B17" s="100" t="s">
        <v>33</v>
      </c>
      <c r="C17" s="101" t="s">
        <v>30</v>
      </c>
      <c r="D17" s="114" t="s">
        <v>34</v>
      </c>
      <c r="E17" s="102" t="s">
        <v>35</v>
      </c>
      <c r="F17" s="103">
        <v>99.95</v>
      </c>
      <c r="G17" s="103"/>
      <c r="H17" s="103">
        <f t="shared" si="6"/>
        <v>0</v>
      </c>
      <c r="I17" s="103">
        <f t="shared" si="7"/>
        <v>0</v>
      </c>
      <c r="J17" s="106" t="e">
        <f t="shared" si="8"/>
        <v>#DIV/0!</v>
      </c>
    </row>
    <row r="18" spans="1:10" ht="71.25">
      <c r="A18" s="99" t="s">
        <v>36</v>
      </c>
      <c r="B18" s="100" t="s">
        <v>37</v>
      </c>
      <c r="C18" s="101" t="s">
        <v>30</v>
      </c>
      <c r="D18" s="114" t="s">
        <v>38</v>
      </c>
      <c r="E18" s="102" t="s">
        <v>27</v>
      </c>
      <c r="F18" s="103">
        <v>442.87</v>
      </c>
      <c r="G18" s="103"/>
      <c r="H18" s="103">
        <f t="shared" si="6"/>
        <v>0</v>
      </c>
      <c r="I18" s="103">
        <f t="shared" si="7"/>
        <v>0</v>
      </c>
      <c r="J18" s="106" t="e">
        <f t="shared" si="8"/>
        <v>#DIV/0!</v>
      </c>
    </row>
    <row r="19" spans="1:10" ht="71.25">
      <c r="A19" s="99" t="s">
        <v>39</v>
      </c>
      <c r="B19" s="100" t="s">
        <v>40</v>
      </c>
      <c r="C19" s="101" t="s">
        <v>30</v>
      </c>
      <c r="D19" s="114" t="s">
        <v>41</v>
      </c>
      <c r="E19" s="102" t="s">
        <v>27</v>
      </c>
      <c r="F19" s="103">
        <v>0</v>
      </c>
      <c r="G19" s="103"/>
      <c r="H19" s="103">
        <f t="shared" si="6"/>
        <v>0</v>
      </c>
      <c r="I19" s="103">
        <f t="shared" si="7"/>
        <v>0</v>
      </c>
      <c r="J19" s="106" t="e">
        <f t="shared" si="8"/>
        <v>#DIV/0!</v>
      </c>
    </row>
    <row r="20" spans="1:10" ht="57">
      <c r="A20" s="99" t="s">
        <v>42</v>
      </c>
      <c r="B20" s="100" t="s">
        <v>43</v>
      </c>
      <c r="C20" s="101" t="s">
        <v>30</v>
      </c>
      <c r="D20" s="114" t="s">
        <v>44</v>
      </c>
      <c r="E20" s="102" t="s">
        <v>27</v>
      </c>
      <c r="F20" s="103">
        <v>55.68</v>
      </c>
      <c r="G20" s="103"/>
      <c r="H20" s="103">
        <f t="shared" si="6"/>
        <v>0</v>
      </c>
      <c r="I20" s="103">
        <f t="shared" si="7"/>
        <v>0</v>
      </c>
      <c r="J20" s="106" t="e">
        <f t="shared" si="8"/>
        <v>#DIV/0!</v>
      </c>
    </row>
    <row r="21" spans="1:10" ht="24" customHeight="1">
      <c r="A21" s="99" t="s">
        <v>45</v>
      </c>
      <c r="B21" s="100" t="s">
        <v>232</v>
      </c>
      <c r="C21" s="101" t="s">
        <v>5</v>
      </c>
      <c r="D21" s="114" t="s">
        <v>233</v>
      </c>
      <c r="E21" s="102" t="s">
        <v>27</v>
      </c>
      <c r="F21" s="103">
        <v>55.68</v>
      </c>
      <c r="G21" s="103"/>
      <c r="H21" s="103">
        <f t="shared" si="6"/>
        <v>0</v>
      </c>
      <c r="I21" s="103">
        <f t="shared" si="7"/>
        <v>0</v>
      </c>
      <c r="J21" s="106" t="e">
        <f t="shared" si="8"/>
        <v>#DIV/0!</v>
      </c>
    </row>
    <row r="22" spans="1:10" ht="39" customHeight="1">
      <c r="A22" s="99" t="s">
        <v>46</v>
      </c>
      <c r="B22" s="100" t="s">
        <v>47</v>
      </c>
      <c r="C22" s="101" t="s">
        <v>30</v>
      </c>
      <c r="D22" s="114" t="s">
        <v>48</v>
      </c>
      <c r="E22" s="102" t="s">
        <v>9</v>
      </c>
      <c r="F22" s="103">
        <v>590.5</v>
      </c>
      <c r="G22" s="103"/>
      <c r="H22" s="103">
        <f t="shared" si="6"/>
        <v>0</v>
      </c>
      <c r="I22" s="103">
        <f t="shared" si="7"/>
        <v>0</v>
      </c>
      <c r="J22" s="106" t="e">
        <f t="shared" si="8"/>
        <v>#DIV/0!</v>
      </c>
    </row>
    <row r="23" spans="1:10" ht="51.95" customHeight="1">
      <c r="A23" s="99" t="s">
        <v>49</v>
      </c>
      <c r="B23" s="100" t="s">
        <v>50</v>
      </c>
      <c r="C23" s="101" t="s">
        <v>30</v>
      </c>
      <c r="D23" s="114" t="s">
        <v>51</v>
      </c>
      <c r="E23" s="102" t="s">
        <v>9</v>
      </c>
      <c r="F23" s="103">
        <v>0</v>
      </c>
      <c r="G23" s="103"/>
      <c r="H23" s="103">
        <f t="shared" si="6"/>
        <v>0</v>
      </c>
      <c r="I23" s="103">
        <f t="shared" si="7"/>
        <v>0</v>
      </c>
      <c r="J23" s="106" t="e">
        <f t="shared" si="8"/>
        <v>#DIV/0!</v>
      </c>
    </row>
    <row r="24" spans="1:10" ht="24" customHeight="1">
      <c r="A24" s="99" t="s">
        <v>52</v>
      </c>
      <c r="B24" s="100" t="s">
        <v>53</v>
      </c>
      <c r="C24" s="101" t="s">
        <v>30</v>
      </c>
      <c r="D24" s="114" t="s">
        <v>54</v>
      </c>
      <c r="E24" s="102" t="s">
        <v>27</v>
      </c>
      <c r="F24" s="103">
        <v>25.68</v>
      </c>
      <c r="G24" s="103"/>
      <c r="H24" s="103">
        <f t="shared" si="6"/>
        <v>0</v>
      </c>
      <c r="I24" s="103">
        <f t="shared" si="7"/>
        <v>0</v>
      </c>
      <c r="J24" s="106" t="e">
        <f t="shared" si="8"/>
        <v>#DIV/0!</v>
      </c>
    </row>
    <row r="25" spans="1:10" ht="33" customHeight="1">
      <c r="A25" s="99" t="s">
        <v>55</v>
      </c>
      <c r="B25" s="100">
        <v>94304</v>
      </c>
      <c r="C25" s="101" t="s">
        <v>30</v>
      </c>
      <c r="D25" s="114" t="s">
        <v>234</v>
      </c>
      <c r="E25" s="102" t="s">
        <v>27</v>
      </c>
      <c r="F25" s="103">
        <v>387.19</v>
      </c>
      <c r="G25" s="103"/>
      <c r="H25" s="103">
        <f t="shared" si="6"/>
        <v>0</v>
      </c>
      <c r="I25" s="103">
        <f t="shared" si="7"/>
        <v>0</v>
      </c>
      <c r="J25" s="106" t="e">
        <f t="shared" si="8"/>
        <v>#DIV/0!</v>
      </c>
    </row>
    <row r="26" spans="1:10" ht="16.5" customHeight="1">
      <c r="A26" s="99"/>
      <c r="B26" s="100"/>
      <c r="C26" s="101"/>
      <c r="D26" s="114"/>
      <c r="E26" s="102"/>
      <c r="F26" s="103"/>
      <c r="G26" s="103"/>
      <c r="H26" s="103"/>
      <c r="I26" s="103"/>
      <c r="J26" s="106"/>
    </row>
    <row r="27" spans="1:10" ht="24" customHeight="1">
      <c r="A27" s="94" t="s">
        <v>56</v>
      </c>
      <c r="B27" s="95"/>
      <c r="C27" s="95"/>
      <c r="D27" s="115" t="s">
        <v>57</v>
      </c>
      <c r="E27" s="95"/>
      <c r="F27" s="105"/>
      <c r="G27" s="95"/>
      <c r="H27" s="95"/>
      <c r="I27" s="97">
        <f>SUM(I28:I31)</f>
        <v>0</v>
      </c>
      <c r="J27" s="98" t="e">
        <f>SUM(J28:J31)</f>
        <v>#DIV/0!</v>
      </c>
    </row>
    <row r="28" spans="1:10" ht="42.75">
      <c r="A28" s="99" t="s">
        <v>58</v>
      </c>
      <c r="B28" s="100" t="s">
        <v>59</v>
      </c>
      <c r="C28" s="101" t="s">
        <v>30</v>
      </c>
      <c r="D28" s="114" t="s">
        <v>60</v>
      </c>
      <c r="E28" s="102" t="s">
        <v>27</v>
      </c>
      <c r="F28" s="103">
        <v>46.14</v>
      </c>
      <c r="G28" s="103"/>
      <c r="H28" s="103">
        <f t="shared" ref="H28:H31" si="9">TRUNC((G28*$J$3)+G28,2)</f>
        <v>0</v>
      </c>
      <c r="I28" s="103">
        <f t="shared" ref="I28:I31" si="10">TRUNC(F28*H28,2)</f>
        <v>0</v>
      </c>
      <c r="J28" s="106" t="e">
        <f t="shared" ref="J28:J31" si="11">I28/$I$59</f>
        <v>#DIV/0!</v>
      </c>
    </row>
    <row r="29" spans="1:10" s="132" customFormat="1" ht="28.5">
      <c r="A29" s="99" t="s">
        <v>245</v>
      </c>
      <c r="B29" s="100" t="s">
        <v>235</v>
      </c>
      <c r="C29" s="101" t="s">
        <v>5</v>
      </c>
      <c r="D29" s="114" t="s">
        <v>236</v>
      </c>
      <c r="E29" s="102" t="s">
        <v>9</v>
      </c>
      <c r="F29" s="103">
        <v>307.60000000000002</v>
      </c>
      <c r="G29" s="103"/>
      <c r="H29" s="103">
        <f t="shared" ref="H29" si="12">TRUNC((G29*$J$3)+G29,2)</f>
        <v>0</v>
      </c>
      <c r="I29" s="103">
        <f t="shared" ref="I29" si="13">TRUNC(F29*H29,2)</f>
        <v>0</v>
      </c>
      <c r="J29" s="106" t="e">
        <f t="shared" ref="J29" si="14">I29/$I$59</f>
        <v>#DIV/0!</v>
      </c>
    </row>
    <row r="30" spans="1:10" ht="24" customHeight="1">
      <c r="A30" s="99" t="s">
        <v>246</v>
      </c>
      <c r="B30" s="100" t="s">
        <v>237</v>
      </c>
      <c r="C30" s="101" t="s">
        <v>5</v>
      </c>
      <c r="D30" s="114" t="s">
        <v>61</v>
      </c>
      <c r="E30" s="102" t="s">
        <v>9</v>
      </c>
      <c r="F30" s="103">
        <v>307.60000000000002</v>
      </c>
      <c r="G30" s="103"/>
      <c r="H30" s="103">
        <f t="shared" si="9"/>
        <v>0</v>
      </c>
      <c r="I30" s="103">
        <f t="shared" si="10"/>
        <v>0</v>
      </c>
      <c r="J30" s="106" t="e">
        <f t="shared" si="11"/>
        <v>#DIV/0!</v>
      </c>
    </row>
    <row r="31" spans="1:10" ht="26.1" customHeight="1">
      <c r="A31" s="99" t="s">
        <v>247</v>
      </c>
      <c r="B31" s="119" t="s">
        <v>238</v>
      </c>
      <c r="C31" s="101" t="s">
        <v>30</v>
      </c>
      <c r="D31" s="114" t="s">
        <v>239</v>
      </c>
      <c r="E31" s="102" t="s">
        <v>27</v>
      </c>
      <c r="F31" s="103">
        <v>15.38</v>
      </c>
      <c r="G31" s="103"/>
      <c r="H31" s="103">
        <f t="shared" si="9"/>
        <v>0</v>
      </c>
      <c r="I31" s="103">
        <f t="shared" si="10"/>
        <v>0</v>
      </c>
      <c r="J31" s="106" t="e">
        <f t="shared" si="11"/>
        <v>#DIV/0!</v>
      </c>
    </row>
    <row r="32" spans="1:10" ht="26.1" customHeight="1">
      <c r="A32" s="94" t="s">
        <v>62</v>
      </c>
      <c r="B32" s="95"/>
      <c r="C32" s="95"/>
      <c r="D32" s="115" t="s">
        <v>63</v>
      </c>
      <c r="E32" s="95"/>
      <c r="F32" s="105"/>
      <c r="G32" s="95"/>
      <c r="H32" s="95"/>
      <c r="I32" s="97">
        <f>SUM(I33:I42)</f>
        <v>0</v>
      </c>
      <c r="J32" s="98" t="e">
        <f>SUM(J33:J42)</f>
        <v>#DIV/0!</v>
      </c>
    </row>
    <row r="33" spans="1:10" ht="28.5">
      <c r="A33" s="99" t="s">
        <v>64</v>
      </c>
      <c r="B33" s="100"/>
      <c r="C33" s="101" t="s">
        <v>154</v>
      </c>
      <c r="D33" s="114" t="s">
        <v>65</v>
      </c>
      <c r="E33" s="102" t="s">
        <v>66</v>
      </c>
      <c r="F33" s="103">
        <v>178</v>
      </c>
      <c r="G33" s="103"/>
      <c r="H33" s="103">
        <f>TRUNC((G33*$J$4)+G33,2)</f>
        <v>0</v>
      </c>
      <c r="I33" s="103">
        <f t="shared" ref="I33:I42" si="15">TRUNC(F33*H33,2)</f>
        <v>0</v>
      </c>
      <c r="J33" s="106" t="e">
        <f t="shared" ref="J33:J42" si="16">I33/$I$59</f>
        <v>#DIV/0!</v>
      </c>
    </row>
    <row r="34" spans="1:10" ht="28.5">
      <c r="A34" s="99" t="s">
        <v>67</v>
      </c>
      <c r="B34" s="100"/>
      <c r="C34" s="101" t="s">
        <v>154</v>
      </c>
      <c r="D34" s="114" t="s">
        <v>68</v>
      </c>
      <c r="E34" s="102" t="s">
        <v>66</v>
      </c>
      <c r="F34" s="103">
        <v>27</v>
      </c>
      <c r="G34" s="103"/>
      <c r="H34" s="103">
        <f t="shared" ref="H34:H37" si="17">TRUNC((G34*$J$4)+G34,2)</f>
        <v>0</v>
      </c>
      <c r="I34" s="103">
        <f t="shared" si="15"/>
        <v>0</v>
      </c>
      <c r="J34" s="106" t="e">
        <f t="shared" si="16"/>
        <v>#DIV/0!</v>
      </c>
    </row>
    <row r="35" spans="1:10" ht="28.5">
      <c r="A35" s="99" t="s">
        <v>69</v>
      </c>
      <c r="B35" s="100"/>
      <c r="C35" s="101" t="s">
        <v>154</v>
      </c>
      <c r="D35" s="114" t="s">
        <v>70</v>
      </c>
      <c r="E35" s="102" t="s">
        <v>66</v>
      </c>
      <c r="F35" s="103">
        <v>0</v>
      </c>
      <c r="G35" s="103"/>
      <c r="H35" s="103">
        <f t="shared" si="17"/>
        <v>0</v>
      </c>
      <c r="I35" s="103">
        <f t="shared" si="15"/>
        <v>0</v>
      </c>
      <c r="J35" s="106" t="e">
        <f t="shared" si="16"/>
        <v>#DIV/0!</v>
      </c>
    </row>
    <row r="36" spans="1:10" ht="28.5">
      <c r="A36" s="99" t="s">
        <v>71</v>
      </c>
      <c r="B36" s="100"/>
      <c r="C36" s="101" t="s">
        <v>154</v>
      </c>
      <c r="D36" s="114" t="s">
        <v>72</v>
      </c>
      <c r="E36" s="102" t="s">
        <v>66</v>
      </c>
      <c r="F36" s="103">
        <v>0</v>
      </c>
      <c r="G36" s="103"/>
      <c r="H36" s="103">
        <f t="shared" si="17"/>
        <v>0</v>
      </c>
      <c r="I36" s="103">
        <f t="shared" si="15"/>
        <v>0</v>
      </c>
      <c r="J36" s="106" t="e">
        <f t="shared" si="16"/>
        <v>#DIV/0!</v>
      </c>
    </row>
    <row r="37" spans="1:10" ht="28.5">
      <c r="A37" s="99" t="s">
        <v>73</v>
      </c>
      <c r="B37" s="100"/>
      <c r="C37" s="101" t="s">
        <v>154</v>
      </c>
      <c r="D37" s="114" t="s">
        <v>74</v>
      </c>
      <c r="E37" s="102" t="s">
        <v>66</v>
      </c>
      <c r="F37" s="103">
        <v>0</v>
      </c>
      <c r="G37" s="103"/>
      <c r="H37" s="103">
        <f t="shared" si="17"/>
        <v>0</v>
      </c>
      <c r="I37" s="103">
        <f t="shared" si="15"/>
        <v>0</v>
      </c>
      <c r="J37" s="106" t="e">
        <f t="shared" si="16"/>
        <v>#DIV/0!</v>
      </c>
    </row>
    <row r="38" spans="1:10" ht="42.75">
      <c r="A38" s="99" t="s">
        <v>75</v>
      </c>
      <c r="B38" s="100" t="s">
        <v>76</v>
      </c>
      <c r="C38" s="101" t="s">
        <v>30</v>
      </c>
      <c r="D38" s="114" t="s">
        <v>77</v>
      </c>
      <c r="E38" s="102" t="s">
        <v>13</v>
      </c>
      <c r="F38" s="103">
        <v>178</v>
      </c>
      <c r="G38" s="103"/>
      <c r="H38" s="103">
        <f t="shared" ref="H38:H42" si="18">TRUNC((G38*$J$3)+G38,2)</f>
        <v>0</v>
      </c>
      <c r="I38" s="103">
        <f t="shared" si="15"/>
        <v>0</v>
      </c>
      <c r="J38" s="106" t="e">
        <f t="shared" si="16"/>
        <v>#DIV/0!</v>
      </c>
    </row>
    <row r="39" spans="1:10" ht="57">
      <c r="A39" s="99" t="s">
        <v>78</v>
      </c>
      <c r="B39" s="100" t="s">
        <v>79</v>
      </c>
      <c r="C39" s="101" t="s">
        <v>30</v>
      </c>
      <c r="D39" s="114" t="s">
        <v>80</v>
      </c>
      <c r="E39" s="102" t="s">
        <v>13</v>
      </c>
      <c r="F39" s="103">
        <v>27</v>
      </c>
      <c r="G39" s="103"/>
      <c r="H39" s="103">
        <f t="shared" si="18"/>
        <v>0</v>
      </c>
      <c r="I39" s="103">
        <f t="shared" si="15"/>
        <v>0</v>
      </c>
      <c r="J39" s="106" t="e">
        <f t="shared" si="16"/>
        <v>#DIV/0!</v>
      </c>
    </row>
    <row r="40" spans="1:10" ht="51.95" customHeight="1">
      <c r="A40" s="99" t="s">
        <v>81</v>
      </c>
      <c r="B40" s="100" t="s">
        <v>82</v>
      </c>
      <c r="C40" s="101" t="s">
        <v>30</v>
      </c>
      <c r="D40" s="114" t="s">
        <v>83</v>
      </c>
      <c r="E40" s="102" t="s">
        <v>13</v>
      </c>
      <c r="F40" s="103">
        <v>0</v>
      </c>
      <c r="G40" s="103"/>
      <c r="H40" s="103">
        <f t="shared" si="18"/>
        <v>0</v>
      </c>
      <c r="I40" s="103">
        <f t="shared" si="15"/>
        <v>0</v>
      </c>
      <c r="J40" s="106" t="e">
        <f t="shared" si="16"/>
        <v>#DIV/0!</v>
      </c>
    </row>
    <row r="41" spans="1:10" ht="51.95" customHeight="1">
      <c r="A41" s="99" t="s">
        <v>84</v>
      </c>
      <c r="B41" s="100" t="s">
        <v>85</v>
      </c>
      <c r="C41" s="101" t="s">
        <v>30</v>
      </c>
      <c r="D41" s="114" t="s">
        <v>86</v>
      </c>
      <c r="E41" s="102" t="s">
        <v>13</v>
      </c>
      <c r="F41" s="103">
        <v>0</v>
      </c>
      <c r="G41" s="103"/>
      <c r="H41" s="103">
        <f t="shared" si="18"/>
        <v>0</v>
      </c>
      <c r="I41" s="103">
        <f t="shared" si="15"/>
        <v>0</v>
      </c>
      <c r="J41" s="106" t="e">
        <f t="shared" si="16"/>
        <v>#DIV/0!</v>
      </c>
    </row>
    <row r="42" spans="1:10" ht="51.95" customHeight="1">
      <c r="A42" s="99" t="s">
        <v>87</v>
      </c>
      <c r="B42" s="100" t="s">
        <v>88</v>
      </c>
      <c r="C42" s="101" t="s">
        <v>30</v>
      </c>
      <c r="D42" s="114" t="s">
        <v>89</v>
      </c>
      <c r="E42" s="102" t="s">
        <v>13</v>
      </c>
      <c r="F42" s="103">
        <v>0</v>
      </c>
      <c r="G42" s="103"/>
      <c r="H42" s="103">
        <f t="shared" si="18"/>
        <v>0</v>
      </c>
      <c r="I42" s="103">
        <f t="shared" si="15"/>
        <v>0</v>
      </c>
      <c r="J42" s="106" t="e">
        <f t="shared" si="16"/>
        <v>#DIV/0!</v>
      </c>
    </row>
    <row r="43" spans="1:10" ht="26.1" customHeight="1">
      <c r="A43" s="94" t="s">
        <v>90</v>
      </c>
      <c r="B43" s="95"/>
      <c r="C43" s="95"/>
      <c r="D43" s="115" t="s">
        <v>91</v>
      </c>
      <c r="E43" s="95"/>
      <c r="F43" s="105"/>
      <c r="G43" s="95"/>
      <c r="H43" s="95"/>
      <c r="I43" s="97">
        <f>SUM(I44:I46)</f>
        <v>0</v>
      </c>
      <c r="J43" s="98" t="e">
        <f>SUM(J44:J46)</f>
        <v>#DIV/0!</v>
      </c>
    </row>
    <row r="44" spans="1:10" ht="28.5">
      <c r="A44" s="99" t="s">
        <v>92</v>
      </c>
      <c r="B44" s="100" t="s">
        <v>240</v>
      </c>
      <c r="C44" s="101" t="s">
        <v>30</v>
      </c>
      <c r="D44" s="114" t="s">
        <v>224</v>
      </c>
      <c r="E44" s="102" t="s">
        <v>93</v>
      </c>
      <c r="F44" s="103">
        <v>3</v>
      </c>
      <c r="G44" s="103"/>
      <c r="H44" s="103">
        <f t="shared" ref="H44:H46" si="19">TRUNC((G44*$J$3)+G44,2)</f>
        <v>0</v>
      </c>
      <c r="I44" s="103">
        <f t="shared" ref="I44:I46" si="20">TRUNC(F44*H44,2)</f>
        <v>0</v>
      </c>
      <c r="J44" s="106" t="e">
        <f t="shared" ref="J44:J46" si="21">I44/$I$59</f>
        <v>#DIV/0!</v>
      </c>
    </row>
    <row r="45" spans="1:10" ht="42.75">
      <c r="A45" s="99" t="s">
        <v>94</v>
      </c>
      <c r="B45" s="100" t="s">
        <v>241</v>
      </c>
      <c r="C45" s="101" t="s">
        <v>30</v>
      </c>
      <c r="D45" s="114" t="s">
        <v>225</v>
      </c>
      <c r="E45" s="102" t="s">
        <v>93</v>
      </c>
      <c r="F45" s="103">
        <v>0</v>
      </c>
      <c r="G45" s="103"/>
      <c r="H45" s="103">
        <f t="shared" si="19"/>
        <v>0</v>
      </c>
      <c r="I45" s="103">
        <f t="shared" si="20"/>
        <v>0</v>
      </c>
      <c r="J45" s="106" t="e">
        <f t="shared" si="21"/>
        <v>#DIV/0!</v>
      </c>
    </row>
    <row r="46" spans="1:10" ht="42.75">
      <c r="A46" s="99" t="s">
        <v>95</v>
      </c>
      <c r="B46" s="100" t="s">
        <v>242</v>
      </c>
      <c r="C46" s="101" t="s">
        <v>30</v>
      </c>
      <c r="D46" s="114" t="s">
        <v>226</v>
      </c>
      <c r="E46" s="102" t="s">
        <v>93</v>
      </c>
      <c r="F46" s="103">
        <v>0</v>
      </c>
      <c r="G46" s="103"/>
      <c r="H46" s="103">
        <f t="shared" si="19"/>
        <v>0</v>
      </c>
      <c r="I46" s="103">
        <f t="shared" si="20"/>
        <v>0</v>
      </c>
      <c r="J46" s="106" t="e">
        <f t="shared" si="21"/>
        <v>#DIV/0!</v>
      </c>
    </row>
    <row r="47" spans="1:10" ht="24" customHeight="1">
      <c r="A47" s="94" t="s">
        <v>96</v>
      </c>
      <c r="B47" s="95"/>
      <c r="C47" s="95"/>
      <c r="D47" s="115" t="s">
        <v>97</v>
      </c>
      <c r="E47" s="95"/>
      <c r="F47" s="105"/>
      <c r="G47" s="95"/>
      <c r="H47" s="95"/>
      <c r="I47" s="97">
        <f>SUM(I48:I49)</f>
        <v>0</v>
      </c>
      <c r="J47" s="98" t="e">
        <f>SUM(J48:J49)</f>
        <v>#DIV/0!</v>
      </c>
    </row>
    <row r="48" spans="1:10" ht="42.75">
      <c r="A48" s="99" t="s">
        <v>98</v>
      </c>
      <c r="B48" s="100" t="s">
        <v>99</v>
      </c>
      <c r="C48" s="101" t="s">
        <v>30</v>
      </c>
      <c r="D48" s="114" t="s">
        <v>100</v>
      </c>
      <c r="E48" s="102" t="s">
        <v>101</v>
      </c>
      <c r="F48" s="103">
        <v>3</v>
      </c>
      <c r="G48" s="103"/>
      <c r="H48" s="103">
        <f t="shared" ref="H48:H49" si="22">TRUNC((G48*$J$3)+G48,2)</f>
        <v>0</v>
      </c>
      <c r="I48" s="103">
        <f t="shared" ref="I48:I49" si="23">TRUNC(F48*H48,2)</f>
        <v>0</v>
      </c>
      <c r="J48" s="106" t="e">
        <f t="shared" ref="J48:J49" si="24">I48/$I$59</f>
        <v>#DIV/0!</v>
      </c>
    </row>
    <row r="49" spans="1:11" ht="42.75">
      <c r="A49" s="99" t="s">
        <v>102</v>
      </c>
      <c r="B49" s="100" t="s">
        <v>103</v>
      </c>
      <c r="C49" s="101" t="s">
        <v>30</v>
      </c>
      <c r="D49" s="114" t="s">
        <v>104</v>
      </c>
      <c r="E49" s="102" t="s">
        <v>101</v>
      </c>
      <c r="F49" s="103">
        <v>1</v>
      </c>
      <c r="G49" s="103"/>
      <c r="H49" s="103">
        <f t="shared" si="22"/>
        <v>0</v>
      </c>
      <c r="I49" s="103">
        <f t="shared" si="23"/>
        <v>0</v>
      </c>
      <c r="J49" s="106" t="e">
        <f t="shared" si="24"/>
        <v>#DIV/0!</v>
      </c>
    </row>
    <row r="50" spans="1:11" ht="24" customHeight="1">
      <c r="A50" s="94" t="s">
        <v>105</v>
      </c>
      <c r="B50" s="95"/>
      <c r="C50" s="95"/>
      <c r="D50" s="115" t="s">
        <v>106</v>
      </c>
      <c r="E50" s="95"/>
      <c r="F50" s="105"/>
      <c r="G50" s="95"/>
      <c r="H50" s="95"/>
      <c r="I50" s="97">
        <f>SUM(I51:I55)</f>
        <v>0</v>
      </c>
      <c r="J50" s="98" t="e">
        <f>SUM(J51:J55)</f>
        <v>#DIV/0!</v>
      </c>
    </row>
    <row r="51" spans="1:11" ht="28.5">
      <c r="A51" s="99" t="s">
        <v>107</v>
      </c>
      <c r="B51" s="100" t="s">
        <v>108</v>
      </c>
      <c r="C51" s="101" t="s">
        <v>109</v>
      </c>
      <c r="D51" s="114" t="s">
        <v>110</v>
      </c>
      <c r="E51" s="102" t="s">
        <v>93</v>
      </c>
      <c r="F51" s="103">
        <v>3</v>
      </c>
      <c r="G51" s="103"/>
      <c r="H51" s="103">
        <f t="shared" ref="H51:H55" si="25">TRUNC((G51*$J$3)+G51,2)</f>
        <v>0</v>
      </c>
      <c r="I51" s="103">
        <f t="shared" ref="I51:I55" si="26">TRUNC(F51*H51,2)</f>
        <v>0</v>
      </c>
      <c r="J51" s="106" t="e">
        <f t="shared" ref="J51:J55" si="27">I51/$I$59</f>
        <v>#DIV/0!</v>
      </c>
    </row>
    <row r="52" spans="1:11" ht="28.5">
      <c r="A52" s="99" t="s">
        <v>111</v>
      </c>
      <c r="B52" s="100" t="s">
        <v>112</v>
      </c>
      <c r="C52" s="101" t="s">
        <v>113</v>
      </c>
      <c r="D52" s="114" t="s">
        <v>227</v>
      </c>
      <c r="E52" s="102" t="s">
        <v>101</v>
      </c>
      <c r="F52" s="103">
        <v>12</v>
      </c>
      <c r="G52" s="103"/>
      <c r="H52" s="103">
        <f t="shared" si="25"/>
        <v>0</v>
      </c>
      <c r="I52" s="103">
        <f t="shared" si="26"/>
        <v>0</v>
      </c>
      <c r="J52" s="106" t="e">
        <f t="shared" si="27"/>
        <v>#DIV/0!</v>
      </c>
    </row>
    <row r="53" spans="1:11" ht="28.5">
      <c r="A53" s="99" t="s">
        <v>114</v>
      </c>
      <c r="B53" s="100" t="s">
        <v>115</v>
      </c>
      <c r="C53" s="101" t="s">
        <v>113</v>
      </c>
      <c r="D53" s="114" t="s">
        <v>228</v>
      </c>
      <c r="E53" s="102" t="s">
        <v>101</v>
      </c>
      <c r="F53" s="103">
        <v>10</v>
      </c>
      <c r="G53" s="103"/>
      <c r="H53" s="103">
        <f t="shared" si="25"/>
        <v>0</v>
      </c>
      <c r="I53" s="103">
        <f t="shared" si="26"/>
        <v>0</v>
      </c>
      <c r="J53" s="106" t="e">
        <f t="shared" si="27"/>
        <v>#DIV/0!</v>
      </c>
    </row>
    <row r="54" spans="1:11" ht="28.5">
      <c r="A54" s="99" t="s">
        <v>116</v>
      </c>
      <c r="B54" s="100" t="s">
        <v>117</v>
      </c>
      <c r="C54" s="101" t="s">
        <v>109</v>
      </c>
      <c r="D54" s="114" t="s">
        <v>118</v>
      </c>
      <c r="E54" s="102" t="s">
        <v>66</v>
      </c>
      <c r="F54" s="103">
        <v>4</v>
      </c>
      <c r="G54" s="103"/>
      <c r="H54" s="103">
        <f t="shared" si="25"/>
        <v>0</v>
      </c>
      <c r="I54" s="103">
        <f t="shared" si="26"/>
        <v>0</v>
      </c>
      <c r="J54" s="106" t="e">
        <f t="shared" si="27"/>
        <v>#DIV/0!</v>
      </c>
    </row>
    <row r="55" spans="1:11" ht="28.5">
      <c r="A55" s="99" t="s">
        <v>119</v>
      </c>
      <c r="B55" s="100" t="s">
        <v>120</v>
      </c>
      <c r="C55" s="101" t="s">
        <v>109</v>
      </c>
      <c r="D55" s="114" t="s">
        <v>121</v>
      </c>
      <c r="E55" s="102" t="s">
        <v>93</v>
      </c>
      <c r="F55" s="103">
        <v>3</v>
      </c>
      <c r="G55" s="103"/>
      <c r="H55" s="103">
        <f t="shared" si="25"/>
        <v>0</v>
      </c>
      <c r="I55" s="103">
        <f t="shared" si="26"/>
        <v>0</v>
      </c>
      <c r="J55" s="106" t="e">
        <f t="shared" si="27"/>
        <v>#DIV/0!</v>
      </c>
    </row>
    <row r="56" spans="1:11" ht="24" customHeight="1">
      <c r="A56" s="94" t="s">
        <v>122</v>
      </c>
      <c r="B56" s="95"/>
      <c r="C56" s="95"/>
      <c r="D56" s="95" t="s">
        <v>123</v>
      </c>
      <c r="E56" s="95"/>
      <c r="F56" s="105"/>
      <c r="G56" s="95"/>
      <c r="H56" s="95"/>
      <c r="I56" s="97">
        <f>SUM(I57)</f>
        <v>0</v>
      </c>
      <c r="J56" s="98" t="e">
        <f>SUM(J57)</f>
        <v>#DIV/0!</v>
      </c>
    </row>
    <row r="57" spans="1:11" ht="24" customHeight="1">
      <c r="A57" s="107" t="s">
        <v>124</v>
      </c>
      <c r="B57" s="108" t="s">
        <v>125</v>
      </c>
      <c r="C57" s="109" t="s">
        <v>30</v>
      </c>
      <c r="D57" s="109" t="s">
        <v>126</v>
      </c>
      <c r="E57" s="110" t="s">
        <v>9</v>
      </c>
      <c r="F57" s="111">
        <v>307.60000000000002</v>
      </c>
      <c r="G57" s="121"/>
      <c r="H57" s="121">
        <f>TRUNC((G57*$J$3)+G57,2)</f>
        <v>0</v>
      </c>
      <c r="I57" s="121">
        <f>TRUNC(F57*H57,2)</f>
        <v>0</v>
      </c>
      <c r="J57" s="122" t="e">
        <f>I57/$I$59</f>
        <v>#DIV/0!</v>
      </c>
    </row>
    <row r="58" spans="1:11" ht="15" thickBot="1">
      <c r="A58" s="112"/>
      <c r="B58" s="112"/>
      <c r="C58" s="112"/>
      <c r="D58" s="112"/>
      <c r="E58" s="112"/>
      <c r="F58" s="112"/>
      <c r="G58" s="123"/>
      <c r="H58" s="123"/>
      <c r="I58" s="123"/>
      <c r="J58" s="123"/>
    </row>
    <row r="59" spans="1:11" ht="21" customHeight="1" thickBot="1">
      <c r="A59" s="159" t="s">
        <v>211</v>
      </c>
      <c r="B59" s="159"/>
      <c r="C59" s="159"/>
      <c r="D59" s="159"/>
      <c r="E59" s="159"/>
      <c r="F59" s="159"/>
      <c r="G59" s="159"/>
      <c r="H59" s="159"/>
      <c r="I59" s="116">
        <f>SUM(I6:I57)/2</f>
        <v>0</v>
      </c>
      <c r="J59" s="117" t="e">
        <f>SUM(J6:J57)/2</f>
        <v>#DIV/0!</v>
      </c>
    </row>
    <row r="60" spans="1:11" ht="15">
      <c r="A60" s="113"/>
      <c r="B60" s="113"/>
      <c r="C60" s="113"/>
      <c r="D60" s="113"/>
      <c r="E60" s="113"/>
      <c r="F60" s="157"/>
      <c r="G60" s="158"/>
      <c r="H60" s="113"/>
      <c r="I60" s="113"/>
      <c r="J60" s="113"/>
    </row>
    <row r="61" spans="1:11" ht="21.75" customHeight="1">
      <c r="A61" s="160" t="s">
        <v>155</v>
      </c>
      <c r="B61" s="161"/>
      <c r="C61" s="161"/>
      <c r="D61" s="161"/>
      <c r="E61" s="161"/>
      <c r="F61" s="161"/>
      <c r="G61" s="161"/>
      <c r="H61" s="161"/>
      <c r="I61" s="161"/>
      <c r="J61" s="161"/>
    </row>
    <row r="62" spans="1:11">
      <c r="K62" s="120"/>
    </row>
    <row r="63" spans="1:11">
      <c r="F63" s="155"/>
      <c r="G63" s="154"/>
      <c r="H63" s="156"/>
      <c r="I63" s="154"/>
      <c r="J63" s="154"/>
    </row>
    <row r="64" spans="1:11">
      <c r="F64" s="155"/>
      <c r="G64" s="154"/>
      <c r="H64" s="156"/>
      <c r="I64" s="154"/>
      <c r="J64" s="154"/>
    </row>
    <row r="65" spans="6:10">
      <c r="F65" s="155"/>
      <c r="G65" s="154"/>
      <c r="H65" s="156"/>
      <c r="I65" s="154"/>
      <c r="J65" s="154"/>
    </row>
    <row r="66" spans="6:10">
      <c r="I66" s="124"/>
      <c r="J66" s="124"/>
    </row>
  </sheetData>
  <mergeCells count="15">
    <mergeCell ref="F65:G65"/>
    <mergeCell ref="H65:J65"/>
    <mergeCell ref="A59:H59"/>
    <mergeCell ref="F60:G60"/>
    <mergeCell ref="A61:J61"/>
    <mergeCell ref="F63:G63"/>
    <mergeCell ref="H63:J63"/>
    <mergeCell ref="F64:G64"/>
    <mergeCell ref="H64:J64"/>
    <mergeCell ref="A1:C2"/>
    <mergeCell ref="D1:J1"/>
    <mergeCell ref="D2:J2"/>
    <mergeCell ref="B3:F3"/>
    <mergeCell ref="G3:H4"/>
    <mergeCell ref="B4:F4"/>
  </mergeCells>
  <pageMargins left="0.51181102362204722" right="0.51181102362204722" top="0.78740157480314965" bottom="0.78740157480314965" header="0.31496062992125984" footer="0.51181102362204722"/>
  <pageSetup paperSize="9" scale="56" fitToHeight="0" orientation="portrait" r:id="rId1"/>
  <headerFooter>
    <oddHeader>&amp;RProcesso nº. 7038/23
Fls.______ Rubrica ____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OutlineSymbols="0" showWhiteSpace="0" workbookViewId="0">
      <selection activeCell="D2" sqref="D2:J2"/>
    </sheetView>
  </sheetViews>
  <sheetFormatPr defaultRowHeight="14.25"/>
  <cols>
    <col min="1" max="2" width="10" style="3" bestFit="1" customWidth="1"/>
    <col min="3" max="3" width="10.5" style="3" bestFit="1" customWidth="1"/>
    <col min="4" max="4" width="60" style="3" bestFit="1" customWidth="1"/>
    <col min="5" max="5" width="8" style="3" bestFit="1" customWidth="1"/>
    <col min="6" max="6" width="7.875" style="3" bestFit="1" customWidth="1"/>
    <col min="7" max="7" width="11.625" style="3" customWidth="1"/>
    <col min="8" max="8" width="10.75" style="3" customWidth="1"/>
    <col min="9" max="9" width="11.375" style="3" customWidth="1"/>
    <col min="10" max="10" width="10.25" style="3" customWidth="1"/>
    <col min="11" max="16384" width="9" style="3"/>
  </cols>
  <sheetData>
    <row r="1" spans="1:10" ht="48" customHeight="1">
      <c r="A1" s="144"/>
      <c r="B1" s="145"/>
      <c r="C1" s="146"/>
      <c r="D1" s="150" t="s">
        <v>128</v>
      </c>
      <c r="E1" s="150"/>
      <c r="F1" s="150"/>
      <c r="G1" s="150"/>
      <c r="H1" s="150"/>
      <c r="I1" s="150"/>
      <c r="J1" s="151"/>
    </row>
    <row r="2" spans="1:10" ht="42.75" customHeight="1">
      <c r="A2" s="147"/>
      <c r="B2" s="148"/>
      <c r="C2" s="149"/>
      <c r="D2" s="152" t="s">
        <v>248</v>
      </c>
      <c r="E2" s="152"/>
      <c r="F2" s="152"/>
      <c r="G2" s="152"/>
      <c r="H2" s="152"/>
      <c r="I2" s="152"/>
      <c r="J2" s="153"/>
    </row>
    <row r="3" spans="1:10" ht="32.25" customHeight="1">
      <c r="A3" s="9" t="s">
        <v>129</v>
      </c>
      <c r="B3" s="143" t="s">
        <v>148</v>
      </c>
      <c r="C3" s="143"/>
      <c r="D3" s="143"/>
      <c r="E3" s="143"/>
      <c r="F3" s="143"/>
      <c r="G3" s="141" t="s">
        <v>146</v>
      </c>
      <c r="H3" s="141"/>
      <c r="I3" s="10" t="s">
        <v>147</v>
      </c>
      <c r="J3" s="11">
        <v>0.25</v>
      </c>
    </row>
    <row r="4" spans="1:10" ht="28.5" customHeight="1">
      <c r="A4" s="9" t="s">
        <v>130</v>
      </c>
      <c r="B4" s="142" t="s">
        <v>215</v>
      </c>
      <c r="C4" s="142"/>
      <c r="D4" s="142"/>
      <c r="E4" s="142"/>
      <c r="F4" s="142"/>
      <c r="G4" s="141"/>
      <c r="H4" s="141"/>
      <c r="I4" s="7" t="s">
        <v>150</v>
      </c>
      <c r="J4" s="8">
        <v>0.16</v>
      </c>
    </row>
    <row r="5" spans="1:10" ht="30" customHeight="1">
      <c r="A5" s="4" t="s">
        <v>131</v>
      </c>
      <c r="B5" s="4" t="s">
        <v>132</v>
      </c>
      <c r="C5" s="4" t="s">
        <v>139</v>
      </c>
      <c r="D5" s="4" t="s">
        <v>133</v>
      </c>
      <c r="E5" s="4" t="s">
        <v>134</v>
      </c>
      <c r="F5" s="5" t="s">
        <v>135</v>
      </c>
      <c r="G5" s="6" t="s">
        <v>136</v>
      </c>
      <c r="H5" s="6" t="s">
        <v>137</v>
      </c>
      <c r="I5" s="4" t="s">
        <v>138</v>
      </c>
      <c r="J5" s="4" t="s">
        <v>140</v>
      </c>
    </row>
    <row r="6" spans="1:10" ht="24" customHeight="1">
      <c r="A6" s="94" t="s">
        <v>176</v>
      </c>
      <c r="B6" s="95"/>
      <c r="C6" s="95"/>
      <c r="D6" s="95" t="s">
        <v>2</v>
      </c>
      <c r="E6" s="95"/>
      <c r="F6" s="96"/>
      <c r="G6" s="95"/>
      <c r="H6" s="95"/>
      <c r="I6" s="97">
        <f>SUM(I7:I10)</f>
        <v>0</v>
      </c>
      <c r="J6" s="98" t="e">
        <f>SUM(J7:J10)</f>
        <v>#DIV/0!</v>
      </c>
    </row>
    <row r="7" spans="1:10" ht="39" customHeight="1">
      <c r="A7" s="99" t="s">
        <v>3</v>
      </c>
      <c r="B7" s="100" t="s">
        <v>4</v>
      </c>
      <c r="C7" s="101" t="s">
        <v>5</v>
      </c>
      <c r="D7" s="114" t="s">
        <v>6</v>
      </c>
      <c r="E7" s="102" t="s">
        <v>7</v>
      </c>
      <c r="F7" s="103">
        <v>0</v>
      </c>
      <c r="G7" s="103"/>
      <c r="H7" s="103">
        <f>TRUNC((G7*$J$3)+G7,2)</f>
        <v>0</v>
      </c>
      <c r="I7" s="103">
        <f>TRUNC(F7*H7,2)</f>
        <v>0</v>
      </c>
      <c r="J7" s="104" t="e">
        <f>I7/$I$59</f>
        <v>#DIV/0!</v>
      </c>
    </row>
    <row r="8" spans="1:10" ht="24" customHeight="1">
      <c r="A8" s="99" t="s">
        <v>8</v>
      </c>
      <c r="B8" s="100" t="s">
        <v>229</v>
      </c>
      <c r="C8" s="101" t="s">
        <v>152</v>
      </c>
      <c r="D8" s="114" t="s">
        <v>230</v>
      </c>
      <c r="E8" s="102" t="s">
        <v>9</v>
      </c>
      <c r="F8" s="103">
        <v>0</v>
      </c>
      <c r="G8" s="103"/>
      <c r="H8" s="103">
        <f t="shared" ref="H8:H10" si="0">TRUNC((G8*$J$3)+G8,2)</f>
        <v>0</v>
      </c>
      <c r="I8" s="103">
        <f t="shared" ref="I8:I10" si="1">TRUNC(F8*H8,2)</f>
        <v>0</v>
      </c>
      <c r="J8" s="104" t="e">
        <f t="shared" ref="J8:J10" si="2">I8/$I$59</f>
        <v>#DIV/0!</v>
      </c>
    </row>
    <row r="9" spans="1:10" ht="24" customHeight="1">
      <c r="A9" s="99" t="s">
        <v>10</v>
      </c>
      <c r="B9" s="133" t="s">
        <v>11</v>
      </c>
      <c r="C9" s="134" t="s">
        <v>151</v>
      </c>
      <c r="D9" s="114" t="s">
        <v>12</v>
      </c>
      <c r="E9" s="102" t="s">
        <v>13</v>
      </c>
      <c r="F9" s="103">
        <v>210</v>
      </c>
      <c r="G9" s="103"/>
      <c r="H9" s="103">
        <f t="shared" si="0"/>
        <v>0</v>
      </c>
      <c r="I9" s="103">
        <f t="shared" si="1"/>
        <v>0</v>
      </c>
      <c r="J9" s="104" t="e">
        <f t="shared" si="2"/>
        <v>#DIV/0!</v>
      </c>
    </row>
    <row r="10" spans="1:10" ht="24" customHeight="1">
      <c r="A10" s="99" t="s">
        <v>14</v>
      </c>
      <c r="B10" s="133" t="s">
        <v>15</v>
      </c>
      <c r="C10" s="134" t="s">
        <v>151</v>
      </c>
      <c r="D10" s="114" t="s">
        <v>16</v>
      </c>
      <c r="E10" s="102" t="s">
        <v>13</v>
      </c>
      <c r="F10" s="103">
        <v>105</v>
      </c>
      <c r="G10" s="103"/>
      <c r="H10" s="103">
        <f t="shared" si="0"/>
        <v>0</v>
      </c>
      <c r="I10" s="103">
        <f t="shared" si="1"/>
        <v>0</v>
      </c>
      <c r="J10" s="104" t="e">
        <f t="shared" si="2"/>
        <v>#DIV/0!</v>
      </c>
    </row>
    <row r="11" spans="1:10" ht="24" customHeight="1">
      <c r="A11" s="94" t="s">
        <v>17</v>
      </c>
      <c r="B11" s="95"/>
      <c r="C11" s="95"/>
      <c r="D11" s="115" t="s">
        <v>18</v>
      </c>
      <c r="E11" s="95"/>
      <c r="F11" s="105"/>
      <c r="G11" s="95"/>
      <c r="H11" s="95"/>
      <c r="I11" s="97">
        <f>SUM(I12:I13)</f>
        <v>0</v>
      </c>
      <c r="J11" s="98" t="e">
        <f>SUM(J12:J13)</f>
        <v>#DIV/0!</v>
      </c>
    </row>
    <row r="12" spans="1:10" ht="28.5">
      <c r="A12" s="99" t="s">
        <v>19</v>
      </c>
      <c r="B12" s="138" t="s">
        <v>231</v>
      </c>
      <c r="C12" s="139" t="s">
        <v>152</v>
      </c>
      <c r="D12" s="140" t="s">
        <v>20</v>
      </c>
      <c r="E12" s="102" t="s">
        <v>13</v>
      </c>
      <c r="F12" s="103">
        <v>413.5</v>
      </c>
      <c r="G12" s="103"/>
      <c r="H12" s="103">
        <f t="shared" ref="H12:H13" si="3">TRUNC((G12*$J$3)+G12,2)</f>
        <v>0</v>
      </c>
      <c r="I12" s="103">
        <f t="shared" ref="I12:I13" si="4">TRUNC(F12*H12,2)</f>
        <v>0</v>
      </c>
      <c r="J12" s="106" t="e">
        <f t="shared" ref="J12:J13" si="5">I12/$I$59</f>
        <v>#DIV/0!</v>
      </c>
    </row>
    <row r="13" spans="1:10" ht="28.5">
      <c r="A13" s="99" t="s">
        <v>21</v>
      </c>
      <c r="B13" s="138" t="s">
        <v>231</v>
      </c>
      <c r="C13" s="139" t="s">
        <v>152</v>
      </c>
      <c r="D13" s="140" t="s">
        <v>22</v>
      </c>
      <c r="E13" s="102" t="s">
        <v>13</v>
      </c>
      <c r="F13" s="103">
        <v>413.5</v>
      </c>
      <c r="G13" s="103"/>
      <c r="H13" s="103">
        <f t="shared" si="3"/>
        <v>0</v>
      </c>
      <c r="I13" s="103">
        <f t="shared" si="4"/>
        <v>0</v>
      </c>
      <c r="J13" s="106" t="e">
        <f t="shared" si="5"/>
        <v>#DIV/0!</v>
      </c>
    </row>
    <row r="14" spans="1:10" ht="24" customHeight="1">
      <c r="A14" s="94" t="s">
        <v>23</v>
      </c>
      <c r="B14" s="95"/>
      <c r="C14" s="95"/>
      <c r="D14" s="115" t="s">
        <v>24</v>
      </c>
      <c r="E14" s="95"/>
      <c r="F14" s="105"/>
      <c r="G14" s="95"/>
      <c r="H14" s="95"/>
      <c r="I14" s="97">
        <f>SUM(I15:I26)</f>
        <v>0</v>
      </c>
      <c r="J14" s="98" t="e">
        <f>SUM(J15:J26)</f>
        <v>#DIV/0!</v>
      </c>
    </row>
    <row r="15" spans="1:10" ht="26.1" customHeight="1">
      <c r="A15" s="99" t="s">
        <v>25</v>
      </c>
      <c r="B15" s="100" t="s">
        <v>153</v>
      </c>
      <c r="C15" s="101" t="s">
        <v>152</v>
      </c>
      <c r="D15" s="114" t="s">
        <v>26</v>
      </c>
      <c r="E15" s="102" t="s">
        <v>27</v>
      </c>
      <c r="F15" s="103">
        <v>31.01</v>
      </c>
      <c r="G15" s="103"/>
      <c r="H15" s="103">
        <f t="shared" ref="H15:H25" si="6">TRUNC((G15*$J$3)+G15,2)</f>
        <v>0</v>
      </c>
      <c r="I15" s="103">
        <f t="shared" ref="I15:I25" si="7">TRUNC(F15*H15,2)</f>
        <v>0</v>
      </c>
      <c r="J15" s="106" t="e">
        <f t="shared" ref="J15:J25" si="8">I15/$I$59</f>
        <v>#DIV/0!</v>
      </c>
    </row>
    <row r="16" spans="1:10" ht="57">
      <c r="A16" s="99" t="s">
        <v>28</v>
      </c>
      <c r="B16" s="100" t="s">
        <v>29</v>
      </c>
      <c r="C16" s="101" t="s">
        <v>30</v>
      </c>
      <c r="D16" s="114" t="s">
        <v>31</v>
      </c>
      <c r="E16" s="102" t="s">
        <v>27</v>
      </c>
      <c r="F16" s="103">
        <v>40.32</v>
      </c>
      <c r="G16" s="103"/>
      <c r="H16" s="103">
        <f t="shared" si="6"/>
        <v>0</v>
      </c>
      <c r="I16" s="103">
        <f t="shared" si="7"/>
        <v>0</v>
      </c>
      <c r="J16" s="106" t="e">
        <f t="shared" si="8"/>
        <v>#DIV/0!</v>
      </c>
    </row>
    <row r="17" spans="1:10" ht="42.75">
      <c r="A17" s="99" t="s">
        <v>32</v>
      </c>
      <c r="B17" s="100" t="s">
        <v>33</v>
      </c>
      <c r="C17" s="101" t="s">
        <v>30</v>
      </c>
      <c r="D17" s="114" t="s">
        <v>34</v>
      </c>
      <c r="E17" s="102" t="s">
        <v>35</v>
      </c>
      <c r="F17" s="103">
        <v>201.6</v>
      </c>
      <c r="G17" s="103"/>
      <c r="H17" s="103">
        <f t="shared" si="6"/>
        <v>0</v>
      </c>
      <c r="I17" s="103">
        <f t="shared" si="7"/>
        <v>0</v>
      </c>
      <c r="J17" s="106" t="e">
        <f t="shared" si="8"/>
        <v>#DIV/0!</v>
      </c>
    </row>
    <row r="18" spans="1:10" ht="71.25">
      <c r="A18" s="99" t="s">
        <v>36</v>
      </c>
      <c r="B18" s="100" t="s">
        <v>37</v>
      </c>
      <c r="C18" s="101" t="s">
        <v>30</v>
      </c>
      <c r="D18" s="114" t="s">
        <v>38</v>
      </c>
      <c r="E18" s="102" t="s">
        <v>27</v>
      </c>
      <c r="F18" s="103">
        <v>991.13</v>
      </c>
      <c r="G18" s="103"/>
      <c r="H18" s="103">
        <f t="shared" si="6"/>
        <v>0</v>
      </c>
      <c r="I18" s="103">
        <f t="shared" si="7"/>
        <v>0</v>
      </c>
      <c r="J18" s="106" t="e">
        <f t="shared" si="8"/>
        <v>#DIV/0!</v>
      </c>
    </row>
    <row r="19" spans="1:10" ht="71.25">
      <c r="A19" s="99" t="s">
        <v>39</v>
      </c>
      <c r="B19" s="100" t="s">
        <v>40</v>
      </c>
      <c r="C19" s="101" t="s">
        <v>30</v>
      </c>
      <c r="D19" s="114" t="s">
        <v>41</v>
      </c>
      <c r="E19" s="102" t="s">
        <v>27</v>
      </c>
      <c r="F19" s="103">
        <v>0</v>
      </c>
      <c r="G19" s="103"/>
      <c r="H19" s="103">
        <f t="shared" si="6"/>
        <v>0</v>
      </c>
      <c r="I19" s="103">
        <f t="shared" si="7"/>
        <v>0</v>
      </c>
      <c r="J19" s="106" t="e">
        <f t="shared" si="8"/>
        <v>#DIV/0!</v>
      </c>
    </row>
    <row r="20" spans="1:10" ht="57">
      <c r="A20" s="99" t="s">
        <v>42</v>
      </c>
      <c r="B20" s="100" t="s">
        <v>43</v>
      </c>
      <c r="C20" s="101" t="s">
        <v>30</v>
      </c>
      <c r="D20" s="114" t="s">
        <v>44</v>
      </c>
      <c r="E20" s="102" t="s">
        <v>27</v>
      </c>
      <c r="F20" s="103">
        <v>162.13</v>
      </c>
      <c r="G20" s="103"/>
      <c r="H20" s="103">
        <f t="shared" si="6"/>
        <v>0</v>
      </c>
      <c r="I20" s="103">
        <f t="shared" si="7"/>
        <v>0</v>
      </c>
      <c r="J20" s="106" t="e">
        <f t="shared" si="8"/>
        <v>#DIV/0!</v>
      </c>
    </row>
    <row r="21" spans="1:10" ht="24" customHeight="1">
      <c r="A21" s="99" t="s">
        <v>45</v>
      </c>
      <c r="B21" s="100" t="s">
        <v>232</v>
      </c>
      <c r="C21" s="101" t="s">
        <v>5</v>
      </c>
      <c r="D21" s="114" t="s">
        <v>233</v>
      </c>
      <c r="E21" s="102" t="s">
        <v>27</v>
      </c>
      <c r="F21" s="103">
        <v>162.13</v>
      </c>
      <c r="G21" s="103"/>
      <c r="H21" s="103">
        <f t="shared" si="6"/>
        <v>0</v>
      </c>
      <c r="I21" s="103">
        <f t="shared" si="7"/>
        <v>0</v>
      </c>
      <c r="J21" s="106" t="e">
        <f t="shared" si="8"/>
        <v>#DIV/0!</v>
      </c>
    </row>
    <row r="22" spans="1:10" ht="39" customHeight="1">
      <c r="A22" s="99" t="s">
        <v>46</v>
      </c>
      <c r="B22" s="100" t="s">
        <v>47</v>
      </c>
      <c r="C22" s="101" t="s">
        <v>30</v>
      </c>
      <c r="D22" s="114" t="s">
        <v>48</v>
      </c>
      <c r="E22" s="102" t="s">
        <v>9</v>
      </c>
      <c r="F22" s="103">
        <v>1321.5</v>
      </c>
      <c r="G22" s="103"/>
      <c r="H22" s="103">
        <f t="shared" si="6"/>
        <v>0</v>
      </c>
      <c r="I22" s="103">
        <f t="shared" si="7"/>
        <v>0</v>
      </c>
      <c r="J22" s="106" t="e">
        <f t="shared" si="8"/>
        <v>#DIV/0!</v>
      </c>
    </row>
    <row r="23" spans="1:10" ht="51.95" customHeight="1">
      <c r="A23" s="99" t="s">
        <v>49</v>
      </c>
      <c r="B23" s="100" t="s">
        <v>50</v>
      </c>
      <c r="C23" s="101" t="s">
        <v>30</v>
      </c>
      <c r="D23" s="114" t="s">
        <v>51</v>
      </c>
      <c r="E23" s="102" t="s">
        <v>9</v>
      </c>
      <c r="F23" s="103">
        <v>0</v>
      </c>
      <c r="G23" s="103"/>
      <c r="H23" s="103">
        <f t="shared" si="6"/>
        <v>0</v>
      </c>
      <c r="I23" s="103">
        <f t="shared" si="7"/>
        <v>0</v>
      </c>
      <c r="J23" s="106" t="e">
        <f t="shared" si="8"/>
        <v>#DIV/0!</v>
      </c>
    </row>
    <row r="24" spans="1:10" ht="24" customHeight="1">
      <c r="A24" s="99" t="s">
        <v>52</v>
      </c>
      <c r="B24" s="100">
        <v>101622</v>
      </c>
      <c r="C24" s="101" t="s">
        <v>30</v>
      </c>
      <c r="D24" s="114" t="s">
        <v>54</v>
      </c>
      <c r="E24" s="102" t="s">
        <v>27</v>
      </c>
      <c r="F24" s="103">
        <v>61.1</v>
      </c>
      <c r="G24" s="103"/>
      <c r="H24" s="103">
        <f t="shared" si="6"/>
        <v>0</v>
      </c>
      <c r="I24" s="103">
        <f t="shared" si="7"/>
        <v>0</v>
      </c>
      <c r="J24" s="106" t="e">
        <f t="shared" si="8"/>
        <v>#DIV/0!</v>
      </c>
    </row>
    <row r="25" spans="1:10" ht="32.25" customHeight="1">
      <c r="A25" s="99" t="s">
        <v>55</v>
      </c>
      <c r="B25" s="100">
        <v>94304</v>
      </c>
      <c r="C25" s="101" t="s">
        <v>30</v>
      </c>
      <c r="D25" s="114" t="s">
        <v>234</v>
      </c>
      <c r="E25" s="102" t="s">
        <v>27</v>
      </c>
      <c r="F25" s="103">
        <v>828.99</v>
      </c>
      <c r="G25" s="103"/>
      <c r="H25" s="103">
        <f t="shared" si="6"/>
        <v>0</v>
      </c>
      <c r="I25" s="103">
        <f t="shared" si="7"/>
        <v>0</v>
      </c>
      <c r="J25" s="106" t="e">
        <f t="shared" si="8"/>
        <v>#DIV/0!</v>
      </c>
    </row>
    <row r="26" spans="1:10" ht="16.5" customHeight="1">
      <c r="A26" s="99"/>
      <c r="B26" s="100"/>
      <c r="C26" s="101"/>
      <c r="D26" s="114"/>
      <c r="E26" s="102"/>
      <c r="F26" s="103"/>
      <c r="G26" s="103"/>
      <c r="H26" s="103"/>
      <c r="I26" s="103"/>
      <c r="J26" s="106"/>
    </row>
    <row r="27" spans="1:10" ht="24" customHeight="1">
      <c r="A27" s="94" t="s">
        <v>56</v>
      </c>
      <c r="B27" s="95"/>
      <c r="C27" s="95"/>
      <c r="D27" s="115" t="s">
        <v>57</v>
      </c>
      <c r="E27" s="95"/>
      <c r="F27" s="105"/>
      <c r="G27" s="95"/>
      <c r="H27" s="95"/>
      <c r="I27" s="97">
        <f>SUM(I28:I31)</f>
        <v>0</v>
      </c>
      <c r="J27" s="98" t="e">
        <f>SUM(J28:J31)</f>
        <v>#DIV/0!</v>
      </c>
    </row>
    <row r="28" spans="1:10" ht="42.75">
      <c r="A28" s="99" t="s">
        <v>58</v>
      </c>
      <c r="B28" s="100" t="s">
        <v>59</v>
      </c>
      <c r="C28" s="101" t="s">
        <v>30</v>
      </c>
      <c r="D28" s="114" t="s">
        <v>60</v>
      </c>
      <c r="E28" s="102" t="s">
        <v>27</v>
      </c>
      <c r="F28" s="103">
        <v>93.03</v>
      </c>
      <c r="G28" s="103"/>
      <c r="H28" s="103">
        <f t="shared" ref="H28:H31" si="9">TRUNC((G28*$J$3)+G28,2)</f>
        <v>0</v>
      </c>
      <c r="I28" s="103">
        <f t="shared" ref="I28:I31" si="10">TRUNC(F28*H28,2)</f>
        <v>0</v>
      </c>
      <c r="J28" s="106" t="e">
        <f t="shared" ref="J28:J31" si="11">I28/$I$59</f>
        <v>#DIV/0!</v>
      </c>
    </row>
    <row r="29" spans="1:10" s="132" customFormat="1" ht="28.5">
      <c r="A29" s="99" t="s">
        <v>245</v>
      </c>
      <c r="B29" s="100" t="s">
        <v>235</v>
      </c>
      <c r="C29" s="101" t="s">
        <v>5</v>
      </c>
      <c r="D29" s="114" t="s">
        <v>236</v>
      </c>
      <c r="E29" s="102" t="s">
        <v>9</v>
      </c>
      <c r="F29" s="103">
        <v>620.20000000000005</v>
      </c>
      <c r="G29" s="103"/>
      <c r="H29" s="103">
        <f t="shared" ref="H29" si="12">TRUNC((G29*$J$3)+G29,2)</f>
        <v>0</v>
      </c>
      <c r="I29" s="103">
        <f t="shared" ref="I29" si="13">TRUNC(F29*H29,2)</f>
        <v>0</v>
      </c>
      <c r="J29" s="106" t="e">
        <f t="shared" ref="J29" si="14">I29/$I$59</f>
        <v>#DIV/0!</v>
      </c>
    </row>
    <row r="30" spans="1:10" ht="24" customHeight="1">
      <c r="A30" s="99" t="s">
        <v>246</v>
      </c>
      <c r="B30" s="100" t="s">
        <v>237</v>
      </c>
      <c r="C30" s="101" t="s">
        <v>5</v>
      </c>
      <c r="D30" s="114" t="s">
        <v>61</v>
      </c>
      <c r="E30" s="102" t="s">
        <v>9</v>
      </c>
      <c r="F30" s="103">
        <v>620.20000000000005</v>
      </c>
      <c r="G30" s="103"/>
      <c r="H30" s="103">
        <f t="shared" si="9"/>
        <v>0</v>
      </c>
      <c r="I30" s="103">
        <f t="shared" si="10"/>
        <v>0</v>
      </c>
      <c r="J30" s="106" t="e">
        <f t="shared" si="11"/>
        <v>#DIV/0!</v>
      </c>
    </row>
    <row r="31" spans="1:10" ht="26.1" customHeight="1">
      <c r="A31" s="99" t="s">
        <v>247</v>
      </c>
      <c r="B31" s="119" t="s">
        <v>238</v>
      </c>
      <c r="C31" s="101" t="s">
        <v>30</v>
      </c>
      <c r="D31" s="114" t="s">
        <v>239</v>
      </c>
      <c r="E31" s="102" t="s">
        <v>27</v>
      </c>
      <c r="F31" s="103">
        <v>31.01</v>
      </c>
      <c r="G31" s="103"/>
      <c r="H31" s="103">
        <f t="shared" si="9"/>
        <v>0</v>
      </c>
      <c r="I31" s="103">
        <f t="shared" si="10"/>
        <v>0</v>
      </c>
      <c r="J31" s="106" t="e">
        <f t="shared" si="11"/>
        <v>#DIV/0!</v>
      </c>
    </row>
    <row r="32" spans="1:10" ht="26.1" customHeight="1">
      <c r="A32" s="94" t="s">
        <v>62</v>
      </c>
      <c r="B32" s="95"/>
      <c r="C32" s="95"/>
      <c r="D32" s="115" t="s">
        <v>63</v>
      </c>
      <c r="E32" s="95"/>
      <c r="F32" s="105"/>
      <c r="G32" s="95"/>
      <c r="H32" s="95"/>
      <c r="I32" s="97">
        <f>SUM(I33:I42)</f>
        <v>0</v>
      </c>
      <c r="J32" s="98" t="e">
        <f>SUM(J33:J42)</f>
        <v>#DIV/0!</v>
      </c>
    </row>
    <row r="33" spans="1:10" ht="28.5">
      <c r="A33" s="99" t="s">
        <v>64</v>
      </c>
      <c r="B33" s="100"/>
      <c r="C33" s="134" t="s">
        <v>154</v>
      </c>
      <c r="D33" s="114" t="s">
        <v>65</v>
      </c>
      <c r="E33" s="102" t="s">
        <v>66</v>
      </c>
      <c r="F33" s="103">
        <v>190</v>
      </c>
      <c r="G33" s="103"/>
      <c r="H33" s="103">
        <f>TRUNC((G33*$J$4)+G33,2)</f>
        <v>0</v>
      </c>
      <c r="I33" s="103">
        <f t="shared" ref="I33:I42" si="15">TRUNC(F33*H33,2)</f>
        <v>0</v>
      </c>
      <c r="J33" s="106" t="e">
        <f t="shared" ref="J33:J42" si="16">I33/$I$59</f>
        <v>#DIV/0!</v>
      </c>
    </row>
    <row r="34" spans="1:10" ht="28.5">
      <c r="A34" s="99" t="s">
        <v>67</v>
      </c>
      <c r="B34" s="100"/>
      <c r="C34" s="134" t="s">
        <v>154</v>
      </c>
      <c r="D34" s="114" t="s">
        <v>68</v>
      </c>
      <c r="E34" s="102" t="s">
        <v>66</v>
      </c>
      <c r="F34" s="103">
        <v>160</v>
      </c>
      <c r="G34" s="103"/>
      <c r="H34" s="103">
        <f t="shared" ref="H34:H37" si="17">TRUNC((G34*$J$4)+G34,2)</f>
        <v>0</v>
      </c>
      <c r="I34" s="103">
        <f t="shared" si="15"/>
        <v>0</v>
      </c>
      <c r="J34" s="106" t="e">
        <f t="shared" si="16"/>
        <v>#DIV/0!</v>
      </c>
    </row>
    <row r="35" spans="1:10" ht="28.5">
      <c r="A35" s="99" t="s">
        <v>69</v>
      </c>
      <c r="B35" s="100"/>
      <c r="C35" s="134" t="s">
        <v>154</v>
      </c>
      <c r="D35" s="114" t="s">
        <v>70</v>
      </c>
      <c r="E35" s="102" t="s">
        <v>66</v>
      </c>
      <c r="F35" s="103">
        <v>63.5</v>
      </c>
      <c r="G35" s="103"/>
      <c r="H35" s="103">
        <f t="shared" si="17"/>
        <v>0</v>
      </c>
      <c r="I35" s="103">
        <f t="shared" si="15"/>
        <v>0</v>
      </c>
      <c r="J35" s="106" t="e">
        <f t="shared" si="16"/>
        <v>#DIV/0!</v>
      </c>
    </row>
    <row r="36" spans="1:10" ht="28.5">
      <c r="A36" s="99" t="s">
        <v>71</v>
      </c>
      <c r="B36" s="100"/>
      <c r="C36" s="134" t="s">
        <v>154</v>
      </c>
      <c r="D36" s="114" t="s">
        <v>72</v>
      </c>
      <c r="E36" s="102" t="s">
        <v>66</v>
      </c>
      <c r="F36" s="103">
        <v>0</v>
      </c>
      <c r="G36" s="103"/>
      <c r="H36" s="103">
        <f t="shared" si="17"/>
        <v>0</v>
      </c>
      <c r="I36" s="103">
        <f t="shared" si="15"/>
        <v>0</v>
      </c>
      <c r="J36" s="106" t="e">
        <f t="shared" si="16"/>
        <v>#DIV/0!</v>
      </c>
    </row>
    <row r="37" spans="1:10" ht="28.5">
      <c r="A37" s="99" t="s">
        <v>73</v>
      </c>
      <c r="B37" s="100"/>
      <c r="C37" s="134" t="s">
        <v>154</v>
      </c>
      <c r="D37" s="114" t="s">
        <v>74</v>
      </c>
      <c r="E37" s="102" t="s">
        <v>66</v>
      </c>
      <c r="F37" s="103">
        <v>0</v>
      </c>
      <c r="G37" s="103"/>
      <c r="H37" s="103">
        <f t="shared" si="17"/>
        <v>0</v>
      </c>
      <c r="I37" s="103">
        <f t="shared" si="15"/>
        <v>0</v>
      </c>
      <c r="J37" s="106" t="e">
        <f t="shared" si="16"/>
        <v>#DIV/0!</v>
      </c>
    </row>
    <row r="38" spans="1:10" ht="42.75">
      <c r="A38" s="99" t="s">
        <v>75</v>
      </c>
      <c r="B38" s="100" t="s">
        <v>76</v>
      </c>
      <c r="C38" s="101" t="s">
        <v>30</v>
      </c>
      <c r="D38" s="114" t="s">
        <v>77</v>
      </c>
      <c r="E38" s="102" t="s">
        <v>13</v>
      </c>
      <c r="F38" s="103">
        <v>190</v>
      </c>
      <c r="G38" s="103"/>
      <c r="H38" s="103">
        <f t="shared" ref="H38:H42" si="18">TRUNC((G38*$J$3)+G38,2)</f>
        <v>0</v>
      </c>
      <c r="I38" s="103">
        <f t="shared" si="15"/>
        <v>0</v>
      </c>
      <c r="J38" s="106" t="e">
        <f t="shared" si="16"/>
        <v>#DIV/0!</v>
      </c>
    </row>
    <row r="39" spans="1:10" ht="57">
      <c r="A39" s="99" t="s">
        <v>78</v>
      </c>
      <c r="B39" s="100" t="s">
        <v>79</v>
      </c>
      <c r="C39" s="101" t="s">
        <v>30</v>
      </c>
      <c r="D39" s="114" t="s">
        <v>80</v>
      </c>
      <c r="E39" s="102" t="s">
        <v>13</v>
      </c>
      <c r="F39" s="103">
        <v>160</v>
      </c>
      <c r="G39" s="103"/>
      <c r="H39" s="103">
        <f t="shared" si="18"/>
        <v>0</v>
      </c>
      <c r="I39" s="103">
        <f t="shared" si="15"/>
        <v>0</v>
      </c>
      <c r="J39" s="106" t="e">
        <f t="shared" si="16"/>
        <v>#DIV/0!</v>
      </c>
    </row>
    <row r="40" spans="1:10" ht="51.95" customHeight="1">
      <c r="A40" s="99" t="s">
        <v>81</v>
      </c>
      <c r="B40" s="100" t="s">
        <v>82</v>
      </c>
      <c r="C40" s="101" t="s">
        <v>30</v>
      </c>
      <c r="D40" s="114" t="s">
        <v>83</v>
      </c>
      <c r="E40" s="102" t="s">
        <v>13</v>
      </c>
      <c r="F40" s="103">
        <v>63.5</v>
      </c>
      <c r="G40" s="103"/>
      <c r="H40" s="103">
        <f t="shared" si="18"/>
        <v>0</v>
      </c>
      <c r="I40" s="103">
        <f t="shared" si="15"/>
        <v>0</v>
      </c>
      <c r="J40" s="106" t="e">
        <f t="shared" si="16"/>
        <v>#DIV/0!</v>
      </c>
    </row>
    <row r="41" spans="1:10" ht="51.95" customHeight="1">
      <c r="A41" s="99" t="s">
        <v>84</v>
      </c>
      <c r="B41" s="100" t="s">
        <v>85</v>
      </c>
      <c r="C41" s="101" t="s">
        <v>30</v>
      </c>
      <c r="D41" s="114" t="s">
        <v>86</v>
      </c>
      <c r="E41" s="102" t="s">
        <v>13</v>
      </c>
      <c r="F41" s="103">
        <v>0</v>
      </c>
      <c r="G41" s="103"/>
      <c r="H41" s="103">
        <f t="shared" si="18"/>
        <v>0</v>
      </c>
      <c r="I41" s="103">
        <f t="shared" si="15"/>
        <v>0</v>
      </c>
      <c r="J41" s="106" t="e">
        <f t="shared" si="16"/>
        <v>#DIV/0!</v>
      </c>
    </row>
    <row r="42" spans="1:10" ht="51.95" customHeight="1">
      <c r="A42" s="99" t="s">
        <v>87</v>
      </c>
      <c r="B42" s="100" t="s">
        <v>88</v>
      </c>
      <c r="C42" s="101" t="s">
        <v>30</v>
      </c>
      <c r="D42" s="114" t="s">
        <v>89</v>
      </c>
      <c r="E42" s="102" t="s">
        <v>13</v>
      </c>
      <c r="F42" s="103">
        <v>0</v>
      </c>
      <c r="G42" s="103"/>
      <c r="H42" s="103">
        <f t="shared" si="18"/>
        <v>0</v>
      </c>
      <c r="I42" s="103">
        <f t="shared" si="15"/>
        <v>0</v>
      </c>
      <c r="J42" s="106" t="e">
        <f t="shared" si="16"/>
        <v>#DIV/0!</v>
      </c>
    </row>
    <row r="43" spans="1:10" ht="26.1" customHeight="1">
      <c r="A43" s="94" t="s">
        <v>90</v>
      </c>
      <c r="B43" s="95"/>
      <c r="C43" s="95"/>
      <c r="D43" s="115" t="s">
        <v>91</v>
      </c>
      <c r="E43" s="95"/>
      <c r="F43" s="105"/>
      <c r="G43" s="95"/>
      <c r="H43" s="95"/>
      <c r="I43" s="97">
        <f>SUM(I44:I46)</f>
        <v>0</v>
      </c>
      <c r="J43" s="98" t="e">
        <f>SUM(J44:J46)</f>
        <v>#DIV/0!</v>
      </c>
    </row>
    <row r="44" spans="1:10" ht="28.5">
      <c r="A44" s="99" t="s">
        <v>92</v>
      </c>
      <c r="B44" s="100" t="s">
        <v>240</v>
      </c>
      <c r="C44" s="101" t="s">
        <v>30</v>
      </c>
      <c r="D44" s="114" t="s">
        <v>224</v>
      </c>
      <c r="E44" s="102" t="s">
        <v>93</v>
      </c>
      <c r="F44" s="103">
        <v>7</v>
      </c>
      <c r="G44" s="103"/>
      <c r="H44" s="103">
        <f t="shared" ref="H44:H46" si="19">TRUNC((G44*$J$3)+G44,2)</f>
        <v>0</v>
      </c>
      <c r="I44" s="103">
        <f t="shared" ref="I44:I46" si="20">TRUNC(F44*H44,2)</f>
        <v>0</v>
      </c>
      <c r="J44" s="106" t="e">
        <f t="shared" ref="J44:J46" si="21">I44/$I$59</f>
        <v>#DIV/0!</v>
      </c>
    </row>
    <row r="45" spans="1:10" ht="42.75">
      <c r="A45" s="99" t="s">
        <v>94</v>
      </c>
      <c r="B45" s="100" t="s">
        <v>241</v>
      </c>
      <c r="C45" s="101" t="s">
        <v>30</v>
      </c>
      <c r="D45" s="114" t="s">
        <v>225</v>
      </c>
      <c r="E45" s="102" t="s">
        <v>93</v>
      </c>
      <c r="F45" s="103">
        <v>0</v>
      </c>
      <c r="G45" s="103"/>
      <c r="H45" s="103">
        <f t="shared" si="19"/>
        <v>0</v>
      </c>
      <c r="I45" s="103">
        <f t="shared" si="20"/>
        <v>0</v>
      </c>
      <c r="J45" s="106" t="e">
        <f t="shared" si="21"/>
        <v>#DIV/0!</v>
      </c>
    </row>
    <row r="46" spans="1:10" ht="42.75">
      <c r="A46" s="99" t="s">
        <v>95</v>
      </c>
      <c r="B46" s="100" t="s">
        <v>242</v>
      </c>
      <c r="C46" s="101" t="s">
        <v>30</v>
      </c>
      <c r="D46" s="114" t="s">
        <v>226</v>
      </c>
      <c r="E46" s="102" t="s">
        <v>93</v>
      </c>
      <c r="F46" s="103">
        <v>0</v>
      </c>
      <c r="G46" s="103"/>
      <c r="H46" s="103">
        <f t="shared" si="19"/>
        <v>0</v>
      </c>
      <c r="I46" s="103">
        <f t="shared" si="20"/>
        <v>0</v>
      </c>
      <c r="J46" s="106" t="e">
        <f t="shared" si="21"/>
        <v>#DIV/0!</v>
      </c>
    </row>
    <row r="47" spans="1:10" ht="24" customHeight="1">
      <c r="A47" s="94" t="s">
        <v>96</v>
      </c>
      <c r="B47" s="95"/>
      <c r="C47" s="95"/>
      <c r="D47" s="115" t="s">
        <v>97</v>
      </c>
      <c r="E47" s="95"/>
      <c r="F47" s="105"/>
      <c r="G47" s="95"/>
      <c r="H47" s="95"/>
      <c r="I47" s="97">
        <f>SUM(I48:I49)</f>
        <v>0</v>
      </c>
      <c r="J47" s="98" t="e">
        <f>SUM(J48:J49)</f>
        <v>#DIV/0!</v>
      </c>
    </row>
    <row r="48" spans="1:10" ht="42.75">
      <c r="A48" s="99" t="s">
        <v>98</v>
      </c>
      <c r="B48" s="100" t="s">
        <v>99</v>
      </c>
      <c r="C48" s="101" t="s">
        <v>30</v>
      </c>
      <c r="D48" s="114" t="s">
        <v>100</v>
      </c>
      <c r="E48" s="102" t="s">
        <v>101</v>
      </c>
      <c r="F48" s="103">
        <v>11</v>
      </c>
      <c r="G48" s="103"/>
      <c r="H48" s="103">
        <f t="shared" ref="H48:H49" si="22">TRUNC((G48*$J$3)+G48,2)</f>
        <v>0</v>
      </c>
      <c r="I48" s="103">
        <f t="shared" ref="I48:I49" si="23">TRUNC(F48*H48,2)</f>
        <v>0</v>
      </c>
      <c r="J48" s="106" t="e">
        <f t="shared" ref="J48:J49" si="24">I48/$I$59</f>
        <v>#DIV/0!</v>
      </c>
    </row>
    <row r="49" spans="1:11" ht="42.75">
      <c r="A49" s="99" t="s">
        <v>102</v>
      </c>
      <c r="B49" s="100" t="s">
        <v>103</v>
      </c>
      <c r="C49" s="101" t="s">
        <v>30</v>
      </c>
      <c r="D49" s="114" t="s">
        <v>104</v>
      </c>
      <c r="E49" s="102" t="s">
        <v>101</v>
      </c>
      <c r="F49" s="103">
        <v>4</v>
      </c>
      <c r="G49" s="103"/>
      <c r="H49" s="103">
        <f t="shared" si="22"/>
        <v>0</v>
      </c>
      <c r="I49" s="103">
        <f t="shared" si="23"/>
        <v>0</v>
      </c>
      <c r="J49" s="106" t="e">
        <f t="shared" si="24"/>
        <v>#DIV/0!</v>
      </c>
    </row>
    <row r="50" spans="1:11" ht="24" customHeight="1">
      <c r="A50" s="94" t="s">
        <v>105</v>
      </c>
      <c r="B50" s="95"/>
      <c r="C50" s="95"/>
      <c r="D50" s="115" t="s">
        <v>106</v>
      </c>
      <c r="E50" s="95"/>
      <c r="F50" s="105"/>
      <c r="G50" s="95"/>
      <c r="H50" s="95"/>
      <c r="I50" s="97">
        <f>SUM(I51:I55)</f>
        <v>0</v>
      </c>
      <c r="J50" s="98" t="e">
        <f>SUM(J51:J55)</f>
        <v>#DIV/0!</v>
      </c>
    </row>
    <row r="51" spans="1:11" ht="28.5">
      <c r="A51" s="99" t="s">
        <v>107</v>
      </c>
      <c r="B51" s="100" t="s">
        <v>108</v>
      </c>
      <c r="C51" s="101" t="s">
        <v>109</v>
      </c>
      <c r="D51" s="114" t="s">
        <v>110</v>
      </c>
      <c r="E51" s="102" t="s">
        <v>93</v>
      </c>
      <c r="F51" s="103">
        <v>7</v>
      </c>
      <c r="G51" s="103"/>
      <c r="H51" s="103">
        <f t="shared" ref="H51:H55" si="25">TRUNC((G51*$J$3)+G51,2)</f>
        <v>0</v>
      </c>
      <c r="I51" s="103">
        <f t="shared" ref="I51:I55" si="26">TRUNC(F51*H51,2)</f>
        <v>0</v>
      </c>
      <c r="J51" s="106" t="e">
        <f t="shared" ref="J51:J55" si="27">I51/$I$59</f>
        <v>#DIV/0!</v>
      </c>
    </row>
    <row r="52" spans="1:11" ht="28.5">
      <c r="A52" s="99" t="s">
        <v>111</v>
      </c>
      <c r="B52" s="100" t="s">
        <v>112</v>
      </c>
      <c r="C52" s="101" t="s">
        <v>113</v>
      </c>
      <c r="D52" s="114" t="s">
        <v>227</v>
      </c>
      <c r="E52" s="102" t="s">
        <v>101</v>
      </c>
      <c r="F52" s="103">
        <v>20</v>
      </c>
      <c r="G52" s="103"/>
      <c r="H52" s="103">
        <f t="shared" si="25"/>
        <v>0</v>
      </c>
      <c r="I52" s="103">
        <f t="shared" si="26"/>
        <v>0</v>
      </c>
      <c r="J52" s="106" t="e">
        <f t="shared" si="27"/>
        <v>#DIV/0!</v>
      </c>
    </row>
    <row r="53" spans="1:11" ht="28.5">
      <c r="A53" s="99" t="s">
        <v>114</v>
      </c>
      <c r="B53" s="100" t="s">
        <v>115</v>
      </c>
      <c r="C53" s="101" t="s">
        <v>113</v>
      </c>
      <c r="D53" s="114" t="s">
        <v>228</v>
      </c>
      <c r="E53" s="102" t="s">
        <v>101</v>
      </c>
      <c r="F53" s="103">
        <v>20</v>
      </c>
      <c r="G53" s="103"/>
      <c r="H53" s="103">
        <f t="shared" si="25"/>
        <v>0</v>
      </c>
      <c r="I53" s="103">
        <f t="shared" si="26"/>
        <v>0</v>
      </c>
      <c r="J53" s="106" t="e">
        <f t="shared" si="27"/>
        <v>#DIV/0!</v>
      </c>
    </row>
    <row r="54" spans="1:11" ht="28.5">
      <c r="A54" s="99" t="s">
        <v>116</v>
      </c>
      <c r="B54" s="100" t="s">
        <v>117</v>
      </c>
      <c r="C54" s="101" t="s">
        <v>109</v>
      </c>
      <c r="D54" s="114" t="s">
        <v>118</v>
      </c>
      <c r="E54" s="102" t="s">
        <v>66</v>
      </c>
      <c r="F54" s="103">
        <v>30</v>
      </c>
      <c r="G54" s="103"/>
      <c r="H54" s="103">
        <f t="shared" si="25"/>
        <v>0</v>
      </c>
      <c r="I54" s="103">
        <f t="shared" si="26"/>
        <v>0</v>
      </c>
      <c r="J54" s="106" t="e">
        <f t="shared" si="27"/>
        <v>#DIV/0!</v>
      </c>
    </row>
    <row r="55" spans="1:11" ht="28.5">
      <c r="A55" s="99" t="s">
        <v>119</v>
      </c>
      <c r="B55" s="100" t="s">
        <v>120</v>
      </c>
      <c r="C55" s="101" t="s">
        <v>109</v>
      </c>
      <c r="D55" s="114" t="s">
        <v>121</v>
      </c>
      <c r="E55" s="102" t="s">
        <v>93</v>
      </c>
      <c r="F55" s="103">
        <v>10</v>
      </c>
      <c r="G55" s="103"/>
      <c r="H55" s="103">
        <f t="shared" si="25"/>
        <v>0</v>
      </c>
      <c r="I55" s="103">
        <f t="shared" si="26"/>
        <v>0</v>
      </c>
      <c r="J55" s="106" t="e">
        <f t="shared" si="27"/>
        <v>#DIV/0!</v>
      </c>
    </row>
    <row r="56" spans="1:11" ht="24" customHeight="1">
      <c r="A56" s="94" t="s">
        <v>122</v>
      </c>
      <c r="B56" s="95"/>
      <c r="C56" s="95"/>
      <c r="D56" s="95" t="s">
        <v>123</v>
      </c>
      <c r="E56" s="95"/>
      <c r="F56" s="105"/>
      <c r="G56" s="95"/>
      <c r="H56" s="95"/>
      <c r="I56" s="97">
        <f>SUM(I57)</f>
        <v>0</v>
      </c>
      <c r="J56" s="98" t="e">
        <f>SUM(J57)</f>
        <v>#DIV/0!</v>
      </c>
    </row>
    <row r="57" spans="1:11" ht="24" customHeight="1">
      <c r="A57" s="107" t="s">
        <v>124</v>
      </c>
      <c r="B57" s="108" t="s">
        <v>125</v>
      </c>
      <c r="C57" s="109" t="s">
        <v>30</v>
      </c>
      <c r="D57" s="109" t="s">
        <v>126</v>
      </c>
      <c r="E57" s="110" t="s">
        <v>9</v>
      </c>
      <c r="F57" s="111">
        <v>620.20000000000005</v>
      </c>
      <c r="G57" s="121"/>
      <c r="H57" s="121">
        <f>TRUNC((G57*$J$3)+G57,2)</f>
        <v>0</v>
      </c>
      <c r="I57" s="121">
        <f>TRUNC(F57*H57,2)</f>
        <v>0</v>
      </c>
      <c r="J57" s="122" t="e">
        <f>I57/$I$59</f>
        <v>#DIV/0!</v>
      </c>
    </row>
    <row r="58" spans="1:11" ht="15" thickBot="1">
      <c r="A58" s="112"/>
      <c r="B58" s="112"/>
      <c r="C58" s="112"/>
      <c r="D58" s="112"/>
      <c r="E58" s="112"/>
      <c r="F58" s="112"/>
      <c r="G58" s="123"/>
      <c r="H58" s="123"/>
      <c r="I58" s="123"/>
      <c r="J58" s="123"/>
    </row>
    <row r="59" spans="1:11" ht="21" customHeight="1" thickBot="1">
      <c r="A59" s="159" t="s">
        <v>211</v>
      </c>
      <c r="B59" s="159"/>
      <c r="C59" s="159"/>
      <c r="D59" s="159"/>
      <c r="E59" s="159"/>
      <c r="F59" s="159"/>
      <c r="G59" s="159"/>
      <c r="H59" s="159"/>
      <c r="I59" s="116">
        <f>SUM(I6:I57)/2</f>
        <v>0</v>
      </c>
      <c r="J59" s="117" t="e">
        <f>SUM(J6:J57)/2</f>
        <v>#DIV/0!</v>
      </c>
    </row>
    <row r="60" spans="1:11" ht="15">
      <c r="A60" s="113"/>
      <c r="B60" s="113"/>
      <c r="C60" s="113"/>
      <c r="D60" s="113"/>
      <c r="E60" s="113"/>
      <c r="F60" s="157"/>
      <c r="G60" s="158"/>
      <c r="H60" s="113"/>
      <c r="I60" s="113"/>
      <c r="J60" s="113"/>
    </row>
    <row r="61" spans="1:11" ht="21.75" customHeight="1">
      <c r="A61" s="160" t="s">
        <v>155</v>
      </c>
      <c r="B61" s="161"/>
      <c r="C61" s="161"/>
      <c r="D61" s="161"/>
      <c r="E61" s="161"/>
      <c r="F61" s="161"/>
      <c r="G61" s="161"/>
      <c r="H61" s="161"/>
      <c r="I61" s="161"/>
      <c r="J61" s="161"/>
    </row>
    <row r="62" spans="1:11">
      <c r="K62" s="120"/>
    </row>
    <row r="63" spans="1:11">
      <c r="F63" s="155"/>
      <c r="G63" s="154"/>
      <c r="H63" s="156"/>
      <c r="I63" s="154"/>
      <c r="J63" s="154"/>
    </row>
    <row r="64" spans="1:11">
      <c r="F64" s="155"/>
      <c r="G64" s="154"/>
      <c r="H64" s="156"/>
      <c r="I64" s="154"/>
      <c r="J64" s="154"/>
    </row>
    <row r="65" spans="6:10">
      <c r="F65" s="155"/>
      <c r="G65" s="154"/>
      <c r="H65" s="156"/>
      <c r="I65" s="154"/>
      <c r="J65" s="154"/>
    </row>
    <row r="66" spans="6:10">
      <c r="J66" s="124"/>
    </row>
    <row r="67" spans="6:10">
      <c r="I67" s="3">
        <v>546557.75</v>
      </c>
    </row>
  </sheetData>
  <mergeCells count="15">
    <mergeCell ref="F65:G65"/>
    <mergeCell ref="H65:J65"/>
    <mergeCell ref="A59:H59"/>
    <mergeCell ref="F60:G60"/>
    <mergeCell ref="A61:J61"/>
    <mergeCell ref="F63:G63"/>
    <mergeCell ref="H63:J63"/>
    <mergeCell ref="F64:G64"/>
    <mergeCell ref="H64:J64"/>
    <mergeCell ref="A1:C2"/>
    <mergeCell ref="D1:J1"/>
    <mergeCell ref="D2:J2"/>
    <mergeCell ref="B3:F3"/>
    <mergeCell ref="G3:H4"/>
    <mergeCell ref="B4:F4"/>
  </mergeCells>
  <pageMargins left="0.51181102362204722" right="0.51181102362204722" top="0.78740157480314965" bottom="0.78740157480314965" header="0.31496062992125984" footer="0.51181102362204722"/>
  <pageSetup paperSize="9" scale="56" fitToHeight="0" orientation="portrait" r:id="rId1"/>
  <headerFooter>
    <oddHeader>&amp;RProcesso nº. 7038/23
Fls.______ Rubrica ____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OutlineSymbols="0" showWhiteSpace="0" workbookViewId="0">
      <selection activeCell="B3" sqref="B3:D3"/>
    </sheetView>
  </sheetViews>
  <sheetFormatPr defaultRowHeight="14.25"/>
  <cols>
    <col min="1" max="1" width="10" bestFit="1" customWidth="1"/>
    <col min="2" max="2" width="60" bestFit="1" customWidth="1"/>
    <col min="3" max="4" width="13" bestFit="1" customWidth="1"/>
    <col min="6" max="6" width="11.375" bestFit="1" customWidth="1"/>
    <col min="7" max="9" width="9.875" bestFit="1" customWidth="1"/>
    <col min="10" max="10" width="11.375" bestFit="1" customWidth="1"/>
    <col min="12" max="12" width="14.75" bestFit="1" customWidth="1"/>
    <col min="13" max="13" width="11.875" bestFit="1" customWidth="1"/>
  </cols>
  <sheetData>
    <row r="1" spans="1:13" ht="48" customHeight="1">
      <c r="A1" s="144"/>
      <c r="B1" s="163" t="s">
        <v>216</v>
      </c>
      <c r="C1" s="163"/>
      <c r="D1" s="164"/>
    </row>
    <row r="2" spans="1:13" ht="42.75" customHeight="1">
      <c r="A2" s="147"/>
      <c r="B2" s="165" t="s">
        <v>250</v>
      </c>
      <c r="C2" s="165"/>
      <c r="D2" s="166"/>
    </row>
    <row r="3" spans="1:13" ht="32.25" customHeight="1">
      <c r="A3" s="9" t="s">
        <v>129</v>
      </c>
      <c r="B3" s="167" t="s">
        <v>148</v>
      </c>
      <c r="C3" s="168"/>
      <c r="D3" s="169"/>
    </row>
    <row r="4" spans="1:13" ht="28.5" customHeight="1">
      <c r="A4" s="9" t="s">
        <v>130</v>
      </c>
      <c r="B4" s="170" t="s">
        <v>149</v>
      </c>
      <c r="C4" s="171"/>
      <c r="D4" s="172"/>
    </row>
    <row r="5" spans="1:13" ht="30" customHeight="1">
      <c r="A5" s="4" t="s">
        <v>131</v>
      </c>
      <c r="B5" s="4" t="s">
        <v>133</v>
      </c>
      <c r="C5" s="4" t="s">
        <v>138</v>
      </c>
      <c r="D5" s="4" t="s">
        <v>140</v>
      </c>
      <c r="F5" s="127" t="s">
        <v>217</v>
      </c>
      <c r="G5" s="127" t="s">
        <v>218</v>
      </c>
      <c r="H5" s="127" t="s">
        <v>219</v>
      </c>
      <c r="I5" s="127" t="s">
        <v>220</v>
      </c>
      <c r="L5" s="173">
        <v>28804.590000000004</v>
      </c>
      <c r="M5">
        <v>5.997630178357076E-3</v>
      </c>
    </row>
    <row r="6" spans="1:13" ht="24" customHeight="1">
      <c r="A6" s="12" t="s">
        <v>176</v>
      </c>
      <c r="B6" s="13" t="s">
        <v>2</v>
      </c>
      <c r="C6" s="14">
        <f>'Orçamento Bacia I'!I6+'Orçamento Bacia II'!I6+'Orçamento Bacia III'!I6+'Orçamento Bacia IV'!I6</f>
        <v>0</v>
      </c>
      <c r="D6" s="15" t="e">
        <f>C6/$C$16</f>
        <v>#DIV/0!</v>
      </c>
      <c r="F6" s="124">
        <f>'Orçamento Bacia I'!I59</f>
        <v>0</v>
      </c>
      <c r="G6" s="124">
        <f>'Orçamento Bacia II'!I59</f>
        <v>0</v>
      </c>
      <c r="H6" s="124">
        <f>'Orçamento Bacia III'!I59</f>
        <v>0</v>
      </c>
      <c r="I6" s="124">
        <f>'Orçamento Bacia IV'!I59</f>
        <v>0</v>
      </c>
      <c r="J6" s="124">
        <f>I6+H6+G6+F6</f>
        <v>0</v>
      </c>
      <c r="L6" s="174"/>
    </row>
    <row r="7" spans="1:13" ht="24" customHeight="1">
      <c r="A7" s="12" t="s">
        <v>17</v>
      </c>
      <c r="B7" s="13" t="s">
        <v>18</v>
      </c>
      <c r="C7" s="14">
        <f>'Orçamento Bacia I'!I11+'Orçamento Bacia II'!I11+'Orçamento Bacia III'!I11+'Orçamento Bacia IV'!I11</f>
        <v>0</v>
      </c>
      <c r="D7" s="15" t="e">
        <f t="shared" ref="D7:D14" si="0">C7/$C$16</f>
        <v>#DIV/0!</v>
      </c>
      <c r="L7" s="173">
        <v>26304.65</v>
      </c>
      <c r="M7">
        <v>0.16904952457905215</v>
      </c>
    </row>
    <row r="8" spans="1:13" ht="24" customHeight="1">
      <c r="A8" s="12" t="s">
        <v>23</v>
      </c>
      <c r="B8" s="13" t="s">
        <v>24</v>
      </c>
      <c r="C8" s="14">
        <f>'Orçamento Bacia I'!I14+'Orçamento Bacia II'!I14+'Orçamento Bacia III'!I14+'Orçamento Bacia IV'!I14</f>
        <v>0</v>
      </c>
      <c r="D8" s="15" t="e">
        <f t="shared" si="0"/>
        <v>#DIV/0!</v>
      </c>
      <c r="L8" s="174"/>
    </row>
    <row r="9" spans="1:13" ht="24" customHeight="1">
      <c r="A9" s="12" t="s">
        <v>56</v>
      </c>
      <c r="B9" s="13" t="s">
        <v>57</v>
      </c>
      <c r="C9" s="14">
        <f>'Orçamento Bacia I'!I27+'Orçamento Bacia II'!I27+'Orçamento Bacia III'!I27+'Orçamento Bacia IV'!I27</f>
        <v>0</v>
      </c>
      <c r="D9" s="15" t="e">
        <f t="shared" si="0"/>
        <v>#DIV/0!</v>
      </c>
      <c r="L9" s="173">
        <v>741424.2699999999</v>
      </c>
      <c r="M9">
        <v>0.10497904984285329</v>
      </c>
    </row>
    <row r="10" spans="1:13" ht="26.1" customHeight="1">
      <c r="A10" s="12" t="s">
        <v>62</v>
      </c>
      <c r="B10" s="13" t="s">
        <v>63</v>
      </c>
      <c r="C10" s="14">
        <f>'Orçamento Bacia I'!I32+'Orçamento Bacia II'!I32+'Orçamento Bacia III'!I32+'Orçamento Bacia IV'!I32</f>
        <v>0</v>
      </c>
      <c r="D10" s="15" t="e">
        <f t="shared" si="0"/>
        <v>#DIV/0!</v>
      </c>
      <c r="L10" s="174"/>
    </row>
    <row r="11" spans="1:13" ht="26.1" customHeight="1">
      <c r="A11" s="12" t="s">
        <v>90</v>
      </c>
      <c r="B11" s="13" t="s">
        <v>91</v>
      </c>
      <c r="C11" s="14">
        <f>'Orçamento Bacia I'!I43+'Orçamento Bacia II'!I43+'Orçamento Bacia III'!I43+'Orçamento Bacia IV'!I43</f>
        <v>0</v>
      </c>
      <c r="D11" s="15" t="e">
        <f t="shared" si="0"/>
        <v>#DIV/0!</v>
      </c>
      <c r="L11" s="173">
        <v>460421.38</v>
      </c>
      <c r="M11">
        <v>0.52523182095301912</v>
      </c>
    </row>
    <row r="12" spans="1:13" ht="24" customHeight="1">
      <c r="A12" s="12" t="s">
        <v>96</v>
      </c>
      <c r="B12" s="13" t="s">
        <v>97</v>
      </c>
      <c r="C12" s="14">
        <f>'Orçamento Bacia I'!I47+'Orçamento Bacia II'!I47+'Orçamento Bacia III'!I47+'Orçamento Bacia IV'!I47</f>
        <v>0</v>
      </c>
      <c r="D12" s="15" t="e">
        <f t="shared" si="0"/>
        <v>#DIV/0!</v>
      </c>
      <c r="L12" s="174"/>
    </row>
    <row r="13" spans="1:13" ht="24" customHeight="1">
      <c r="A13" s="12" t="s">
        <v>105</v>
      </c>
      <c r="B13" s="13" t="s">
        <v>106</v>
      </c>
      <c r="C13" s="14">
        <f>'Orçamento Bacia I'!I50+'Orçamento Bacia II'!I50+'Orçamento Bacia III'!I50+'Orçamento Bacia IV'!I50</f>
        <v>0</v>
      </c>
      <c r="D13" s="15" t="e">
        <f t="shared" si="0"/>
        <v>#DIV/0!</v>
      </c>
      <c r="L13" s="173">
        <v>2303583.0499999998</v>
      </c>
      <c r="M13">
        <v>7.4697242588576435E-2</v>
      </c>
    </row>
    <row r="14" spans="1:13" ht="24" customHeight="1">
      <c r="A14" s="125" t="s">
        <v>122</v>
      </c>
      <c r="B14" s="126" t="s">
        <v>123</v>
      </c>
      <c r="C14" s="14">
        <f>'Orçamento Bacia I'!I56+'Orçamento Bacia II'!I56+'Orçamento Bacia III'!I56+'Orçamento Bacia IV'!I56</f>
        <v>0</v>
      </c>
      <c r="D14" s="15" t="e">
        <f t="shared" si="0"/>
        <v>#DIV/0!</v>
      </c>
      <c r="L14" s="174"/>
    </row>
    <row r="15" spans="1:13" ht="15" thickBot="1">
      <c r="A15" s="2"/>
      <c r="B15" s="2"/>
      <c r="C15" s="2"/>
      <c r="D15" s="2"/>
      <c r="L15" s="173">
        <v>327610.2</v>
      </c>
      <c r="M15">
        <v>7.5778045659529822E-2</v>
      </c>
    </row>
    <row r="16" spans="1:13" ht="21" customHeight="1" thickBot="1">
      <c r="A16" s="162" t="s">
        <v>127</v>
      </c>
      <c r="B16" s="162"/>
      <c r="C16" s="17">
        <f>SUM(C6:C14)</f>
        <v>0</v>
      </c>
      <c r="D16" s="16" t="e">
        <f>SUM(D6:D14)</f>
        <v>#DIV/0!</v>
      </c>
      <c r="L16" s="174"/>
    </row>
    <row r="17" spans="1:13">
      <c r="A17" s="1"/>
      <c r="B17" s="1"/>
      <c r="C17" s="1"/>
      <c r="D17" s="1"/>
      <c r="L17" s="173">
        <v>332350.43000000005</v>
      </c>
      <c r="M17">
        <v>3.1572684078913671E-2</v>
      </c>
    </row>
    <row r="18" spans="1:13" ht="21.75" customHeight="1">
      <c r="A18" s="160" t="s">
        <v>155</v>
      </c>
      <c r="B18" s="161"/>
      <c r="C18" s="161"/>
      <c r="D18" s="161"/>
      <c r="L18" s="174"/>
    </row>
    <row r="19" spans="1:13">
      <c r="L19" s="173">
        <v>138472.76</v>
      </c>
      <c r="M19">
        <v>6.1263694669469538E-3</v>
      </c>
    </row>
    <row r="20" spans="1:13">
      <c r="C20" s="154"/>
      <c r="D20" s="154"/>
      <c r="L20" s="174"/>
    </row>
    <row r="21" spans="1:13">
      <c r="C21" s="154"/>
      <c r="D21" s="154"/>
      <c r="L21" s="173">
        <v>26869.279999999999</v>
      </c>
    </row>
    <row r="22" spans="1:13">
      <c r="C22" s="154"/>
      <c r="D22" s="154"/>
      <c r="L22" s="174"/>
    </row>
  </sheetData>
  <mergeCells count="19">
    <mergeCell ref="L5:L6"/>
    <mergeCell ref="L17:L18"/>
    <mergeCell ref="L19:L20"/>
    <mergeCell ref="L21:L22"/>
    <mergeCell ref="L7:L8"/>
    <mergeCell ref="L9:L10"/>
    <mergeCell ref="L11:L12"/>
    <mergeCell ref="L13:L14"/>
    <mergeCell ref="L15:L16"/>
    <mergeCell ref="A1:A2"/>
    <mergeCell ref="C22:D22"/>
    <mergeCell ref="A16:B16"/>
    <mergeCell ref="A18:D18"/>
    <mergeCell ref="C20:D20"/>
    <mergeCell ref="C21:D21"/>
    <mergeCell ref="B1:D1"/>
    <mergeCell ref="B2:D2"/>
    <mergeCell ref="B3:D3"/>
    <mergeCell ref="B4:D4"/>
  </mergeCells>
  <pageMargins left="0.51181102362204722" right="0.51181102362204722" top="0.78740157480314965" bottom="0.78740157480314965" header="0.31496062992125984" footer="0.51181102362204722"/>
  <pageSetup paperSize="9" scale="87" fitToHeight="0" orientation="portrait" r:id="rId1"/>
  <headerFooter>
    <oddHeader>&amp;RProcesso nº. 7038/23
Fls.______ Rubrica ____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showGridLines="0" view="pageBreakPreview" zoomScaleNormal="100" zoomScaleSheetLayoutView="100" workbookViewId="0">
      <pane ySplit="9" topLeftCell="A10" activePane="bottomLeft" state="frozen"/>
      <selection pane="bottomLeft" activeCell="D7" sqref="D7"/>
    </sheetView>
  </sheetViews>
  <sheetFormatPr defaultRowHeight="12.75"/>
  <cols>
    <col min="1" max="1" width="7.625" style="30" customWidth="1"/>
    <col min="2" max="2" width="41.125" style="30" customWidth="1"/>
    <col min="3" max="4" width="13.25" style="30" customWidth="1"/>
    <col min="5" max="8" width="14.75" style="30" bestFit="1" customWidth="1"/>
    <col min="9" max="9" width="18" style="30" customWidth="1"/>
    <col min="10" max="10" width="14.375" style="30" customWidth="1"/>
    <col min="11" max="11" width="2.875" style="29" customWidth="1"/>
    <col min="12" max="1027" width="7.625" style="30" customWidth="1"/>
    <col min="1028" max="16384" width="9" style="30"/>
  </cols>
  <sheetData>
    <row r="1" spans="1:12" s="19" customFormat="1" ht="69" customHeight="1">
      <c r="A1" s="55"/>
      <c r="B1" s="196" t="s">
        <v>251</v>
      </c>
      <c r="C1" s="196"/>
      <c r="D1" s="196"/>
      <c r="E1" s="196"/>
      <c r="F1" s="196"/>
      <c r="G1" s="196"/>
      <c r="H1" s="196"/>
      <c r="I1" s="196"/>
      <c r="J1" s="197"/>
      <c r="K1" s="18"/>
    </row>
    <row r="2" spans="1:12" s="19" customFormat="1" ht="1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18"/>
    </row>
    <row r="3" spans="1:12" s="19" customFormat="1" ht="15" customHeight="1">
      <c r="A3" s="22" t="s">
        <v>141</v>
      </c>
      <c r="B3" s="23" t="str">
        <f>'Orçamento Bacia I'!B3:F3</f>
        <v>DRENAGEM DE ÁGUAS SUPERFÍCIAIS</v>
      </c>
      <c r="C3" s="24"/>
      <c r="D3" s="24"/>
      <c r="E3" s="24"/>
      <c r="F3" s="24"/>
      <c r="G3" s="24"/>
      <c r="J3" s="25"/>
    </row>
    <row r="4" spans="1:12" s="19" customFormat="1" ht="15" customHeight="1">
      <c r="A4" s="198"/>
      <c r="B4" s="199"/>
      <c r="C4" s="199"/>
      <c r="D4" s="199"/>
      <c r="E4" s="199"/>
      <c r="F4" s="199"/>
      <c r="G4" s="199"/>
      <c r="H4" s="199"/>
      <c r="I4" s="199"/>
      <c r="J4" s="200"/>
    </row>
    <row r="5" spans="1:12" s="19" customFormat="1" ht="7.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18"/>
    </row>
    <row r="6" spans="1:12" s="19" customFormat="1" ht="15" customHeight="1">
      <c r="A6" s="22" t="str">
        <f>[1]ORÇAMENTO!A6</f>
        <v xml:space="preserve">LOCAL: </v>
      </c>
      <c r="B6" s="26" t="str">
        <f>Sintético!B4</f>
        <v>BAIRRO SÃO JOÃO BATISTA</v>
      </c>
      <c r="C6" s="180"/>
      <c r="D6" s="180"/>
      <c r="E6" s="180"/>
      <c r="F6" s="180"/>
      <c r="G6" s="180"/>
      <c r="H6" s="180"/>
      <c r="I6" s="180" t="s">
        <v>144</v>
      </c>
      <c r="J6" s="24"/>
      <c r="K6" s="18"/>
    </row>
    <row r="7" spans="1:12" s="19" customFormat="1" ht="15" customHeight="1">
      <c r="A7" s="20"/>
      <c r="B7" s="21"/>
      <c r="C7" s="21"/>
      <c r="D7" s="21"/>
      <c r="E7" s="21"/>
      <c r="F7" s="21"/>
      <c r="G7" s="21"/>
      <c r="H7" s="21"/>
      <c r="I7" s="21"/>
      <c r="J7" s="21"/>
      <c r="K7" s="18"/>
    </row>
    <row r="8" spans="1:12" ht="20.100000000000001" customHeight="1">
      <c r="A8" s="201" t="s">
        <v>0</v>
      </c>
      <c r="B8" s="201" t="s">
        <v>1</v>
      </c>
      <c r="C8" s="203" t="s">
        <v>156</v>
      </c>
      <c r="D8" s="203"/>
      <c r="E8" s="203"/>
      <c r="F8" s="203"/>
      <c r="G8" s="203"/>
      <c r="H8" s="203"/>
      <c r="I8" s="201" t="s">
        <v>157</v>
      </c>
      <c r="J8" s="204" t="s">
        <v>158</v>
      </c>
    </row>
    <row r="9" spans="1:12" ht="20.100000000000001" customHeight="1" thickBot="1">
      <c r="A9" s="202"/>
      <c r="B9" s="202"/>
      <c r="C9" s="31" t="s">
        <v>159</v>
      </c>
      <c r="D9" s="31" t="s">
        <v>160</v>
      </c>
      <c r="E9" s="31" t="s">
        <v>161</v>
      </c>
      <c r="F9" s="31" t="s">
        <v>162</v>
      </c>
      <c r="G9" s="31" t="s">
        <v>163</v>
      </c>
      <c r="H9" s="31" t="s">
        <v>164</v>
      </c>
      <c r="I9" s="202"/>
      <c r="J9" s="205"/>
    </row>
    <row r="10" spans="1:12" ht="15" customHeight="1">
      <c r="A10" s="194" t="s">
        <v>165</v>
      </c>
      <c r="B10" s="195" t="str">
        <f>'Orçamento Bacia I'!D6</f>
        <v>Canteiro e Sinalização</v>
      </c>
      <c r="C10" s="32">
        <f>IF(C11="","",C11*$I$10)</f>
        <v>0</v>
      </c>
      <c r="D10" s="32">
        <f>IF(D11="","",D11*$I$10)</f>
        <v>0</v>
      </c>
      <c r="E10" s="32">
        <f t="shared" ref="E10:G10" si="0">IF(E11="","",E11*$I$10)</f>
        <v>0</v>
      </c>
      <c r="F10" s="32">
        <f t="shared" si="0"/>
        <v>0</v>
      </c>
      <c r="G10" s="32">
        <f t="shared" si="0"/>
        <v>0</v>
      </c>
      <c r="H10" s="32" t="str">
        <f>IF(H11="","",H11*$I$10)</f>
        <v/>
      </c>
      <c r="I10" s="173">
        <f>Sintético!C6</f>
        <v>0</v>
      </c>
      <c r="J10" s="176" t="e">
        <f>I10/$I$33</f>
        <v>#DIV/0!</v>
      </c>
    </row>
    <row r="11" spans="1:12" ht="15" customHeight="1">
      <c r="A11" s="177"/>
      <c r="B11" s="175"/>
      <c r="C11" s="33">
        <v>0.6</v>
      </c>
      <c r="D11" s="33">
        <v>0.1</v>
      </c>
      <c r="E11" s="33">
        <v>0.1</v>
      </c>
      <c r="F11" s="33">
        <v>0.1</v>
      </c>
      <c r="G11" s="33">
        <v>0.1</v>
      </c>
      <c r="H11" s="33"/>
      <c r="I11" s="174"/>
      <c r="J11" s="176"/>
      <c r="L11" s="30" t="str">
        <f>IF(SUM(C11:H11)=100%,"Ok","Revisar percentuais")</f>
        <v>Ok</v>
      </c>
    </row>
    <row r="12" spans="1:12" ht="15" customHeight="1">
      <c r="A12" s="177" t="s">
        <v>166</v>
      </c>
      <c r="B12" s="175" t="str">
        <f>'Orçamento Bacia I'!D11</f>
        <v>Topografia</v>
      </c>
      <c r="C12" s="34">
        <f>IF(C13="","",C13*$I12)</f>
        <v>0</v>
      </c>
      <c r="D12" s="34">
        <f>IF(D13="","",D13*$I12)</f>
        <v>0</v>
      </c>
      <c r="E12" s="34">
        <f t="shared" ref="E12:G12" si="1">IF(E13="","",E13*$I12)</f>
        <v>0</v>
      </c>
      <c r="F12" s="34">
        <f t="shared" si="1"/>
        <v>0</v>
      </c>
      <c r="G12" s="34">
        <f t="shared" si="1"/>
        <v>0</v>
      </c>
      <c r="H12" s="34" t="str">
        <f>IF(H13="","",H13*$I12)</f>
        <v/>
      </c>
      <c r="I12" s="173">
        <f>Sintético!C7</f>
        <v>0</v>
      </c>
      <c r="J12" s="176" t="e">
        <f>I12/$I$33</f>
        <v>#DIV/0!</v>
      </c>
    </row>
    <row r="13" spans="1:12" ht="15" customHeight="1">
      <c r="A13" s="177"/>
      <c r="B13" s="175"/>
      <c r="C13" s="33">
        <v>0.1</v>
      </c>
      <c r="D13" s="33">
        <v>0.2</v>
      </c>
      <c r="E13" s="33">
        <v>0.2</v>
      </c>
      <c r="F13" s="33">
        <v>0.3</v>
      </c>
      <c r="G13" s="33">
        <v>0.2</v>
      </c>
      <c r="H13" s="33"/>
      <c r="I13" s="174"/>
      <c r="J13" s="176"/>
      <c r="L13" s="30" t="str">
        <f>IF(SUM(C13:H13)=100%,"Ok","Revisar percentuais")</f>
        <v>Ok</v>
      </c>
    </row>
    <row r="14" spans="1:12" ht="15" customHeight="1">
      <c r="A14" s="177" t="s">
        <v>167</v>
      </c>
      <c r="B14" s="175" t="str">
        <f>'Orçamento Bacia I'!D14</f>
        <v>Terraplanagem</v>
      </c>
      <c r="C14" s="34">
        <f>IF(C15="","",C15*$I14)</f>
        <v>0</v>
      </c>
      <c r="D14" s="34">
        <f>IF(D15="","",D15*$I14)</f>
        <v>0</v>
      </c>
      <c r="E14" s="34">
        <f t="shared" ref="E14:G14" si="2">IF(E15="","",E15*$I14)</f>
        <v>0</v>
      </c>
      <c r="F14" s="34">
        <f t="shared" si="2"/>
        <v>0</v>
      </c>
      <c r="G14" s="34">
        <f t="shared" si="2"/>
        <v>0</v>
      </c>
      <c r="H14" s="34" t="str">
        <f>IF(H15="","",H15*$I14)</f>
        <v/>
      </c>
      <c r="I14" s="173">
        <f>Sintético!C8</f>
        <v>0</v>
      </c>
      <c r="J14" s="176" t="e">
        <f t="shared" ref="J14" si="3">I14/$I$33</f>
        <v>#DIV/0!</v>
      </c>
    </row>
    <row r="15" spans="1:12" ht="15" customHeight="1">
      <c r="A15" s="177"/>
      <c r="B15" s="175"/>
      <c r="C15" s="33">
        <v>0.2</v>
      </c>
      <c r="D15" s="33">
        <v>0.2</v>
      </c>
      <c r="E15" s="33">
        <v>0.3</v>
      </c>
      <c r="F15" s="33">
        <v>0.2</v>
      </c>
      <c r="G15" s="33">
        <v>0.1</v>
      </c>
      <c r="H15" s="33"/>
      <c r="I15" s="174"/>
      <c r="J15" s="176"/>
      <c r="L15" s="30" t="str">
        <f>IF(SUM(C15:H15)=100%,"Ok","Revisar percentuais")</f>
        <v>Ok</v>
      </c>
    </row>
    <row r="16" spans="1:12" ht="15" customHeight="1">
      <c r="A16" s="177" t="s">
        <v>168</v>
      </c>
      <c r="B16" s="175" t="str">
        <f>'Orçamento Bacia I'!D27</f>
        <v>Recomposição da Pavimentação Asfáltica</v>
      </c>
      <c r="C16" s="34" t="str">
        <f>IF(C17="","",C17*$I16)</f>
        <v/>
      </c>
      <c r="D16" s="34" t="str">
        <f>IF(D17="","",D17*$I16)</f>
        <v/>
      </c>
      <c r="E16" s="34">
        <f t="shared" ref="E16:G16" si="4">IF(E17="","",E17*$I16)</f>
        <v>0</v>
      </c>
      <c r="F16" s="34">
        <f t="shared" si="4"/>
        <v>0</v>
      </c>
      <c r="G16" s="34">
        <f t="shared" si="4"/>
        <v>0</v>
      </c>
      <c r="H16" s="34">
        <f>IF(H17="","",H17*$I16)</f>
        <v>0</v>
      </c>
      <c r="I16" s="173">
        <f>Sintético!C9</f>
        <v>0</v>
      </c>
      <c r="J16" s="176" t="e">
        <f t="shared" ref="J16" si="5">I16/$I$33</f>
        <v>#DIV/0!</v>
      </c>
    </row>
    <row r="17" spans="1:12" ht="15" customHeight="1">
      <c r="A17" s="177"/>
      <c r="B17" s="175"/>
      <c r="C17" s="33"/>
      <c r="D17" s="33"/>
      <c r="E17" s="33">
        <v>0.2</v>
      </c>
      <c r="F17" s="33">
        <v>0.3</v>
      </c>
      <c r="G17" s="33">
        <v>0.3</v>
      </c>
      <c r="H17" s="33">
        <v>0.2</v>
      </c>
      <c r="I17" s="174"/>
      <c r="J17" s="176"/>
      <c r="L17" s="30" t="str">
        <f>IF(SUM(C17:H17)=100%,"Ok","Revisar percentuais")</f>
        <v>Ok</v>
      </c>
    </row>
    <row r="18" spans="1:12" ht="15" customHeight="1">
      <c r="A18" s="177" t="s">
        <v>169</v>
      </c>
      <c r="B18" s="175" t="str">
        <f>'Orçamento Bacia I'!D32</f>
        <v>Tubulação (incluso fornecimento, transp. e assentamento)</v>
      </c>
      <c r="C18" s="34" t="str">
        <f>IF(C19="","",C19*$I18)</f>
        <v/>
      </c>
      <c r="D18" s="34">
        <f>IF(D19="","",D19*$I18)</f>
        <v>0</v>
      </c>
      <c r="E18" s="34">
        <f t="shared" ref="E18:G18" si="6">IF(E19="","",E19*$I18)</f>
        <v>0</v>
      </c>
      <c r="F18" s="34">
        <f t="shared" si="6"/>
        <v>0</v>
      </c>
      <c r="G18" s="34">
        <f t="shared" si="6"/>
        <v>0</v>
      </c>
      <c r="H18" s="34">
        <f>IF(H19="","",H19*$I18)</f>
        <v>0</v>
      </c>
      <c r="I18" s="173">
        <f>Sintético!C10</f>
        <v>0</v>
      </c>
      <c r="J18" s="176" t="e">
        <f t="shared" ref="J18" si="7">I18/$I$33</f>
        <v>#DIV/0!</v>
      </c>
    </row>
    <row r="19" spans="1:12" ht="15" customHeight="1">
      <c r="A19" s="177"/>
      <c r="B19" s="175"/>
      <c r="C19" s="33"/>
      <c r="D19" s="33">
        <v>0.2</v>
      </c>
      <c r="E19" s="33">
        <v>0.2</v>
      </c>
      <c r="F19" s="33">
        <v>0.3</v>
      </c>
      <c r="G19" s="33">
        <v>0.2</v>
      </c>
      <c r="H19" s="33">
        <v>0.1</v>
      </c>
      <c r="I19" s="174"/>
      <c r="J19" s="176"/>
      <c r="L19" s="30" t="str">
        <f>IF(SUM(C19:H19)=100%,"Ok","Revisar percentuais")</f>
        <v>Ok</v>
      </c>
    </row>
    <row r="20" spans="1:12" ht="15" customHeight="1">
      <c r="A20" s="177" t="s">
        <v>170</v>
      </c>
      <c r="B20" s="175" t="str">
        <f>'Orçamento Bacia I'!D43</f>
        <v>Poço de Visita em Concreto com tampão de Ferro Fundido DN 600mm</v>
      </c>
      <c r="C20" s="34" t="str">
        <f>IF(C21="","",C21*$I20)</f>
        <v/>
      </c>
      <c r="D20" s="34" t="str">
        <f>IF(D21="","",D21*$I20)</f>
        <v/>
      </c>
      <c r="E20" s="34" t="str">
        <f t="shared" ref="E20:G26" si="8">IF(E21="","",E21*$I20)</f>
        <v/>
      </c>
      <c r="F20" s="34">
        <f t="shared" si="8"/>
        <v>0</v>
      </c>
      <c r="G20" s="34">
        <f t="shared" si="8"/>
        <v>0</v>
      </c>
      <c r="H20" s="34">
        <f>IF(H21="","",H21*$I20)</f>
        <v>0</v>
      </c>
      <c r="I20" s="173">
        <f>Sintético!C11</f>
        <v>0</v>
      </c>
      <c r="J20" s="176" t="e">
        <f t="shared" ref="J20" si="9">I20/$I$33</f>
        <v>#DIV/0!</v>
      </c>
    </row>
    <row r="21" spans="1:12" ht="15" customHeight="1">
      <c r="A21" s="177"/>
      <c r="B21" s="175"/>
      <c r="C21" s="33"/>
      <c r="D21" s="33"/>
      <c r="E21" s="33"/>
      <c r="F21" s="33">
        <v>0.5</v>
      </c>
      <c r="G21" s="33">
        <v>0.3</v>
      </c>
      <c r="H21" s="33">
        <v>0.2</v>
      </c>
      <c r="I21" s="174"/>
      <c r="J21" s="176"/>
      <c r="L21" s="30" t="str">
        <f>IF(SUM(C21:H21)=100%,"Ok","Revisar percentuais")</f>
        <v>Ok</v>
      </c>
    </row>
    <row r="22" spans="1:12" ht="15" customHeight="1">
      <c r="A22" s="177" t="s">
        <v>171</v>
      </c>
      <c r="B22" s="175" t="str">
        <f>'Orçamento Bacia I'!D47</f>
        <v>Bocas-de-lobo com grelha articulada</v>
      </c>
      <c r="C22" s="34" t="str">
        <f>IF(C23="","",C23*$I22)</f>
        <v/>
      </c>
      <c r="D22" s="34" t="str">
        <f>IF(D23="","",D23*$I22)</f>
        <v/>
      </c>
      <c r="E22" s="34" t="str">
        <f t="shared" si="8"/>
        <v/>
      </c>
      <c r="F22" s="34" t="str">
        <f t="shared" si="8"/>
        <v/>
      </c>
      <c r="G22" s="34">
        <f t="shared" si="8"/>
        <v>0</v>
      </c>
      <c r="H22" s="34">
        <f>IF(H23="","",H23*$I22)</f>
        <v>0</v>
      </c>
      <c r="I22" s="173">
        <f>Sintético!C12</f>
        <v>0</v>
      </c>
      <c r="J22" s="176" t="e">
        <f t="shared" ref="J22" si="10">I22/$I$33</f>
        <v>#DIV/0!</v>
      </c>
    </row>
    <row r="23" spans="1:12" ht="15" customHeight="1">
      <c r="A23" s="177"/>
      <c r="B23" s="175"/>
      <c r="C23" s="33"/>
      <c r="D23" s="33"/>
      <c r="E23" s="33"/>
      <c r="F23" s="33"/>
      <c r="G23" s="33">
        <v>0.5</v>
      </c>
      <c r="H23" s="33">
        <v>0.5</v>
      </c>
      <c r="I23" s="174"/>
      <c r="J23" s="176"/>
      <c r="L23" s="30" t="str">
        <f>IF(SUM(C23:H23)=100%,"Ok","Revisar percentuais")</f>
        <v>Ok</v>
      </c>
    </row>
    <row r="24" spans="1:12" ht="15" customHeight="1">
      <c r="A24" s="177" t="s">
        <v>174</v>
      </c>
      <c r="B24" s="175" t="str">
        <f>'Orçamento Bacia I'!D50</f>
        <v>Remanejamento de interferências</v>
      </c>
      <c r="C24" s="34" t="str">
        <f>IF(C25="","",C25*$I24)</f>
        <v/>
      </c>
      <c r="D24" s="34">
        <f>IF(D25="","",D25*$I24)</f>
        <v>0</v>
      </c>
      <c r="E24" s="34">
        <f t="shared" si="8"/>
        <v>0</v>
      </c>
      <c r="F24" s="34">
        <f t="shared" si="8"/>
        <v>0</v>
      </c>
      <c r="G24" s="34">
        <f t="shared" si="8"/>
        <v>0</v>
      </c>
      <c r="H24" s="34">
        <f>IF(H25="","",H25*$I24)</f>
        <v>0</v>
      </c>
      <c r="I24" s="173">
        <f>Sintético!C13</f>
        <v>0</v>
      </c>
      <c r="J24" s="176" t="e">
        <f t="shared" ref="J24" si="11">I24/$I$33</f>
        <v>#DIV/0!</v>
      </c>
    </row>
    <row r="25" spans="1:12" ht="15" customHeight="1">
      <c r="A25" s="177"/>
      <c r="B25" s="175"/>
      <c r="C25" s="33"/>
      <c r="D25" s="33">
        <v>0.2</v>
      </c>
      <c r="E25" s="33">
        <v>0.2</v>
      </c>
      <c r="F25" s="33">
        <v>0.3</v>
      </c>
      <c r="G25" s="33">
        <v>0.2</v>
      </c>
      <c r="H25" s="33">
        <v>0.1</v>
      </c>
      <c r="I25" s="174"/>
      <c r="J25" s="176"/>
      <c r="L25" s="30" t="str">
        <f>IF(SUM(C25:H25)=100%,"Ok","Revisar percentuais")</f>
        <v>Ok</v>
      </c>
    </row>
    <row r="26" spans="1:12" ht="15" customHeight="1">
      <c r="A26" s="177" t="s">
        <v>175</v>
      </c>
      <c r="B26" s="175" t="str">
        <f>'Orçamento Bacia I'!D56</f>
        <v>Limpeza geral da obra</v>
      </c>
      <c r="C26" s="34" t="str">
        <f>IF(C27="","",C27*$I26)</f>
        <v/>
      </c>
      <c r="D26" s="34" t="str">
        <f>IF(D27="","",D27*$I26)</f>
        <v/>
      </c>
      <c r="E26" s="34" t="str">
        <f t="shared" si="8"/>
        <v/>
      </c>
      <c r="F26" s="34" t="str">
        <f t="shared" si="8"/>
        <v/>
      </c>
      <c r="G26" s="34">
        <f t="shared" si="8"/>
        <v>0</v>
      </c>
      <c r="H26" s="34">
        <f>IF(H27="","",H27*$I26)</f>
        <v>0</v>
      </c>
      <c r="I26" s="173">
        <f>Sintético!C14</f>
        <v>0</v>
      </c>
      <c r="J26" s="176" t="e">
        <f t="shared" ref="J26" si="12">I26/$I$33</f>
        <v>#DIV/0!</v>
      </c>
    </row>
    <row r="27" spans="1:12" ht="15" customHeight="1">
      <c r="A27" s="177"/>
      <c r="B27" s="175"/>
      <c r="C27" s="33"/>
      <c r="D27" s="33"/>
      <c r="E27" s="33"/>
      <c r="F27" s="33"/>
      <c r="G27" s="33">
        <v>0.3</v>
      </c>
      <c r="H27" s="33">
        <v>0.7</v>
      </c>
      <c r="I27" s="174"/>
      <c r="J27" s="176"/>
      <c r="L27" s="30" t="str">
        <f>IF(SUM(C27:H27)=100%,"Ok","Revisar percentuais")</f>
        <v>Ok</v>
      </c>
    </row>
    <row r="28" spans="1:12" ht="15" customHeight="1">
      <c r="A28" s="177"/>
      <c r="B28" s="175" t="str">
        <f>IFERROR(VLOOKUP(A28,PO,4,0),"")</f>
        <v>RAMPA DE SERVIÇO E PATAMAR DE OPERAÇÕES</v>
      </c>
      <c r="C28" s="34" t="str">
        <f>IF(C29="","",C29*$I28)</f>
        <v/>
      </c>
      <c r="D28" s="34" t="str">
        <f>IF(D29="","",D29*$I28)</f>
        <v/>
      </c>
      <c r="E28" s="34" t="str">
        <f t="shared" ref="E28:G28" si="13">IF(E29="","",E29*$I28)</f>
        <v/>
      </c>
      <c r="F28" s="34" t="str">
        <f t="shared" si="13"/>
        <v/>
      </c>
      <c r="G28" s="34" t="str">
        <f t="shared" si="13"/>
        <v/>
      </c>
      <c r="H28" s="34" t="str">
        <f>IF(H29="","",H29*$I28)</f>
        <v/>
      </c>
      <c r="I28" s="174">
        <f>IFERROR(VLOOKUP(A28,PO,10,0),"")</f>
        <v>0</v>
      </c>
      <c r="J28" s="176">
        <f>IFERROR(VLOOKUP(A28,PO,11,0),"")</f>
        <v>0</v>
      </c>
    </row>
    <row r="29" spans="1:12" ht="15" customHeight="1">
      <c r="A29" s="177"/>
      <c r="B29" s="175"/>
      <c r="C29" s="33"/>
      <c r="D29" s="33"/>
      <c r="E29" s="33"/>
      <c r="F29" s="33"/>
      <c r="G29" s="33"/>
      <c r="H29" s="33"/>
      <c r="I29" s="174"/>
      <c r="J29" s="176"/>
    </row>
    <row r="30" spans="1:12" ht="15" customHeight="1">
      <c r="A30" s="177"/>
      <c r="B30" s="175" t="str">
        <f>IFERROR(VLOOKUP(A30,PO,4,0),"")</f>
        <v>RAMPA DE SERVIÇO E PATAMAR DE OPERAÇÕES</v>
      </c>
      <c r="C30" s="34" t="str">
        <f>IF(C31="","",C31*$I30)</f>
        <v/>
      </c>
      <c r="D30" s="34" t="str">
        <f>IF(D31="","",D31*$I30)</f>
        <v/>
      </c>
      <c r="E30" s="34"/>
      <c r="F30" s="34"/>
      <c r="G30" s="34"/>
      <c r="H30" s="34" t="str">
        <f>IF(H31="","",H31*$I30)</f>
        <v/>
      </c>
      <c r="I30" s="174">
        <f>IFERROR(VLOOKUP(A30,PO,10,0),"")</f>
        <v>0</v>
      </c>
      <c r="J30" s="176">
        <f>IFERROR(VLOOKUP(A30,PO,11,0),"")</f>
        <v>0</v>
      </c>
    </row>
    <row r="31" spans="1:12" ht="15" customHeight="1">
      <c r="A31" s="190"/>
      <c r="B31" s="191"/>
      <c r="C31" s="35"/>
      <c r="D31" s="35"/>
      <c r="E31" s="35"/>
      <c r="F31" s="35"/>
      <c r="G31" s="35"/>
      <c r="H31" s="35"/>
      <c r="I31" s="192"/>
      <c r="J31" s="193"/>
      <c r="L31" s="30" t="str">
        <f>IF(SUM(C31:H31)=100%,"Ok","Revisar percentuais")</f>
        <v>Revisar percentuais</v>
      </c>
    </row>
    <row r="32" spans="1:12" ht="15" customHeight="1">
      <c r="A32" s="20"/>
      <c r="B32" s="36"/>
      <c r="C32" s="37"/>
      <c r="D32" s="37"/>
      <c r="E32" s="37"/>
      <c r="F32" s="37"/>
      <c r="G32" s="37"/>
      <c r="H32" s="37"/>
      <c r="I32" s="38"/>
      <c r="J32" s="39"/>
    </row>
    <row r="33" spans="1:20" s="42" customFormat="1" ht="15" customHeight="1">
      <c r="A33" s="181" t="s">
        <v>172</v>
      </c>
      <c r="B33" s="181"/>
      <c r="C33" s="40">
        <f>SUM(C10,C12,C14,C16,C18,C20,,C28,C30,C22,C24,C26)</f>
        <v>0</v>
      </c>
      <c r="D33" s="40">
        <f t="shared" ref="D33:H33" si="14">SUM(D10,D12,D14,D16,D18,D20,,D28,D30,D22,D24,D26)</f>
        <v>0</v>
      </c>
      <c r="E33" s="40">
        <f t="shared" si="14"/>
        <v>0</v>
      </c>
      <c r="F33" s="40">
        <f t="shared" si="14"/>
        <v>0</v>
      </c>
      <c r="G33" s="40">
        <f t="shared" si="14"/>
        <v>0</v>
      </c>
      <c r="H33" s="40">
        <f t="shared" si="14"/>
        <v>0</v>
      </c>
      <c r="I33" s="183">
        <f>SUM(I10:I31)</f>
        <v>0</v>
      </c>
      <c r="J33" s="185" t="e">
        <f>SUM(J10:J31)</f>
        <v>#DIV/0!</v>
      </c>
      <c r="K33" s="41"/>
      <c r="N33" s="30"/>
      <c r="O33" s="30"/>
      <c r="P33" s="30"/>
      <c r="Q33" s="30"/>
      <c r="R33" s="30"/>
      <c r="S33" s="30"/>
      <c r="T33" s="30"/>
    </row>
    <row r="34" spans="1:20" s="42" customFormat="1" ht="15" customHeight="1">
      <c r="A34" s="182"/>
      <c r="B34" s="182"/>
      <c r="C34" s="43" t="e">
        <f>C33/$I$33</f>
        <v>#DIV/0!</v>
      </c>
      <c r="D34" s="43" t="e">
        <f>D33/$I$33</f>
        <v>#DIV/0!</v>
      </c>
      <c r="E34" s="43" t="e">
        <f t="shared" ref="E34:G34" si="15">E33/$I$33</f>
        <v>#DIV/0!</v>
      </c>
      <c r="F34" s="43" t="e">
        <f t="shared" si="15"/>
        <v>#DIV/0!</v>
      </c>
      <c r="G34" s="43" t="e">
        <f t="shared" si="15"/>
        <v>#DIV/0!</v>
      </c>
      <c r="H34" s="43" t="e">
        <f>H33/$I$33</f>
        <v>#DIV/0!</v>
      </c>
      <c r="I34" s="184"/>
      <c r="J34" s="182"/>
      <c r="K34" s="41"/>
      <c r="N34" s="30"/>
      <c r="O34" s="30"/>
      <c r="P34" s="30"/>
      <c r="Q34" s="30"/>
      <c r="R34" s="30"/>
      <c r="S34" s="30"/>
      <c r="T34" s="30"/>
    </row>
    <row r="35" spans="1:20" s="42" customFormat="1" ht="15" customHeight="1">
      <c r="A35" s="186" t="s">
        <v>173</v>
      </c>
      <c r="B35" s="186"/>
      <c r="C35" s="44">
        <f>C33</f>
        <v>0</v>
      </c>
      <c r="D35" s="44">
        <f t="shared" ref="D35:H35" si="16">C35+D33</f>
        <v>0</v>
      </c>
      <c r="E35" s="44">
        <f t="shared" si="16"/>
        <v>0</v>
      </c>
      <c r="F35" s="44">
        <f t="shared" si="16"/>
        <v>0</v>
      </c>
      <c r="G35" s="44">
        <f t="shared" si="16"/>
        <v>0</v>
      </c>
      <c r="H35" s="44">
        <f t="shared" si="16"/>
        <v>0</v>
      </c>
      <c r="I35" s="188"/>
      <c r="J35" s="186"/>
      <c r="K35" s="41"/>
    </row>
    <row r="36" spans="1:20" s="42" customFormat="1" ht="15" customHeight="1">
      <c r="A36" s="187"/>
      <c r="B36" s="187"/>
      <c r="C36" s="45" t="e">
        <f>C35/$I$33</f>
        <v>#DIV/0!</v>
      </c>
      <c r="D36" s="45" t="e">
        <f>D35/$I$33</f>
        <v>#DIV/0!</v>
      </c>
      <c r="E36" s="45" t="e">
        <f t="shared" ref="E36:G36" si="17">E35/$I$33</f>
        <v>#DIV/0!</v>
      </c>
      <c r="F36" s="45" t="e">
        <f t="shared" si="17"/>
        <v>#DIV/0!</v>
      </c>
      <c r="G36" s="45" t="e">
        <f t="shared" si="17"/>
        <v>#DIV/0!</v>
      </c>
      <c r="H36" s="45" t="e">
        <f>H35/$I$33</f>
        <v>#DIV/0!</v>
      </c>
      <c r="I36" s="189"/>
      <c r="J36" s="187"/>
      <c r="K36" s="41"/>
    </row>
    <row r="37" spans="1:20" ht="15" customHeight="1"/>
    <row r="38" spans="1:20" ht="15" customHeight="1">
      <c r="A38" s="178" t="str">
        <f>'Orçamento Bacia I'!A61:J61</f>
        <v>São Carlos, 24 de novembro de 2023</v>
      </c>
      <c r="B38" s="178"/>
      <c r="C38" s="178"/>
      <c r="D38" s="178"/>
      <c r="E38" s="178"/>
      <c r="F38" s="178"/>
      <c r="G38" s="178"/>
      <c r="H38" s="178"/>
      <c r="I38" s="178"/>
      <c r="J38" s="178"/>
    </row>
    <row r="39" spans="1:20" ht="15" customHeight="1"/>
    <row r="40" spans="1:20" ht="15" customHeight="1"/>
    <row r="41" spans="1:20" ht="15" customHeight="1">
      <c r="I41" s="179"/>
      <c r="J41" s="179"/>
    </row>
    <row r="45" spans="1:20">
      <c r="B45" s="46"/>
      <c r="I45" s="46"/>
      <c r="J45" s="19"/>
    </row>
    <row r="46" spans="1:20" s="47" customFormat="1">
      <c r="C46" s="48"/>
      <c r="I46" s="49"/>
      <c r="J46" s="49"/>
      <c r="K46" s="50"/>
    </row>
    <row r="47" spans="1:20" s="51" customFormat="1">
      <c r="C47" s="52"/>
      <c r="I47" s="46"/>
      <c r="J47" s="46"/>
      <c r="K47" s="53"/>
    </row>
    <row r="48" spans="1:20">
      <c r="A48" s="54"/>
      <c r="I48" s="19"/>
      <c r="J48" s="19"/>
    </row>
    <row r="101" spans="1:1">
      <c r="A101" s="54"/>
    </row>
  </sheetData>
  <mergeCells count="60">
    <mergeCell ref="B1:J1"/>
    <mergeCell ref="A4:J4"/>
    <mergeCell ref="A8:A9"/>
    <mergeCell ref="B8:B9"/>
    <mergeCell ref="C8:H8"/>
    <mergeCell ref="I8:I9"/>
    <mergeCell ref="J8:J9"/>
    <mergeCell ref="A10:A11"/>
    <mergeCell ref="B10:B11"/>
    <mergeCell ref="I10:I11"/>
    <mergeCell ref="J10:J11"/>
    <mergeCell ref="A12:A13"/>
    <mergeCell ref="B12:B13"/>
    <mergeCell ref="I12:I13"/>
    <mergeCell ref="J12:J13"/>
    <mergeCell ref="A14:A15"/>
    <mergeCell ref="B14:B15"/>
    <mergeCell ref="I14:I15"/>
    <mergeCell ref="J14:J15"/>
    <mergeCell ref="A16:A17"/>
    <mergeCell ref="B16:B17"/>
    <mergeCell ref="I16:I17"/>
    <mergeCell ref="J16:J17"/>
    <mergeCell ref="A18:A19"/>
    <mergeCell ref="B18:B19"/>
    <mergeCell ref="I18:I19"/>
    <mergeCell ref="J18:J19"/>
    <mergeCell ref="A20:A21"/>
    <mergeCell ref="B20:B21"/>
    <mergeCell ref="I20:I21"/>
    <mergeCell ref="J20:J21"/>
    <mergeCell ref="I28:I29"/>
    <mergeCell ref="J28:J29"/>
    <mergeCell ref="A30:A31"/>
    <mergeCell ref="B30:B31"/>
    <mergeCell ref="I30:I31"/>
    <mergeCell ref="J30:J31"/>
    <mergeCell ref="A38:J38"/>
    <mergeCell ref="I41:J41"/>
    <mergeCell ref="C6:I6"/>
    <mergeCell ref="A22:A23"/>
    <mergeCell ref="B22:B23"/>
    <mergeCell ref="I22:I23"/>
    <mergeCell ref="J22:J23"/>
    <mergeCell ref="A24:A25"/>
    <mergeCell ref="A33:B34"/>
    <mergeCell ref="I33:I34"/>
    <mergeCell ref="J33:J34"/>
    <mergeCell ref="A35:B36"/>
    <mergeCell ref="I35:I36"/>
    <mergeCell ref="J35:J36"/>
    <mergeCell ref="A28:A29"/>
    <mergeCell ref="B28:B29"/>
    <mergeCell ref="B24:B25"/>
    <mergeCell ref="I24:I25"/>
    <mergeCell ref="J24:J25"/>
    <mergeCell ref="A26:A27"/>
    <mergeCell ref="B26:B27"/>
    <mergeCell ref="I26:I27"/>
    <mergeCell ref="J26:J27"/>
  </mergeCells>
  <conditionalFormatting sqref="C30:H30 C14:H14 C16:H16 C18:H18 C20:H20 C12:H12 C10:H10 C28:H28">
    <cfRule type="notContainsBlanks" dxfId="8" priority="8">
      <formula>LEN(TRIM(C10))&gt;0</formula>
    </cfRule>
  </conditionalFormatting>
  <conditionalFormatting sqref="C31:H31">
    <cfRule type="colorScale" priority="10">
      <colorScale>
        <cfvo type="percent" val="0"/>
        <cfvo type="percent" val="100"/>
        <color theme="0"/>
        <color theme="0"/>
      </colorScale>
    </cfRule>
  </conditionalFormatting>
  <conditionalFormatting sqref="C29:H29">
    <cfRule type="colorScale" priority="11">
      <colorScale>
        <cfvo type="percent" val="0"/>
        <cfvo type="percent" val="100"/>
        <color theme="0"/>
        <color theme="0"/>
      </colorScale>
    </cfRule>
  </conditionalFormatting>
  <conditionalFormatting sqref="C22:H22">
    <cfRule type="notContainsBlanks" dxfId="7" priority="6">
      <formula>LEN(TRIM(C22))&gt;0</formula>
    </cfRule>
  </conditionalFormatting>
  <conditionalFormatting sqref="C23:H23">
    <cfRule type="colorScale" priority="7">
      <colorScale>
        <cfvo type="percent" val="0"/>
        <cfvo type="percent" val="100"/>
        <color theme="0"/>
        <color theme="0"/>
      </colorScale>
    </cfRule>
  </conditionalFormatting>
  <conditionalFormatting sqref="C24:H24">
    <cfRule type="notContainsBlanks" dxfId="6" priority="4">
      <formula>LEN(TRIM(C24))&gt;0</formula>
    </cfRule>
  </conditionalFormatting>
  <conditionalFormatting sqref="C25">
    <cfRule type="colorScale" priority="5">
      <colorScale>
        <cfvo type="percent" val="0"/>
        <cfvo type="percent" val="100"/>
        <color theme="0"/>
        <color theme="0"/>
      </colorScale>
    </cfRule>
  </conditionalFormatting>
  <conditionalFormatting sqref="C26:H26">
    <cfRule type="notContainsBlanks" dxfId="5" priority="2">
      <formula>LEN(TRIM(C26))&gt;0</formula>
    </cfRule>
  </conditionalFormatting>
  <conditionalFormatting sqref="C27:H27">
    <cfRule type="colorScale" priority="3">
      <colorScale>
        <cfvo type="percent" val="0"/>
        <cfvo type="percent" val="100"/>
        <color theme="0"/>
        <color theme="0"/>
      </colorScale>
    </cfRule>
  </conditionalFormatting>
  <conditionalFormatting sqref="C11:H11 C13:H13 C15:H15 C17:H17 C19:H19 C21:H21">
    <cfRule type="colorScale" priority="12">
      <colorScale>
        <cfvo type="percent" val="0"/>
        <cfvo type="percent" val="100"/>
        <color theme="0"/>
        <color theme="0"/>
      </colorScale>
    </cfRule>
  </conditionalFormatting>
  <conditionalFormatting sqref="D25:H25">
    <cfRule type="colorScale" priority="1">
      <colorScale>
        <cfvo type="percent" val="0"/>
        <cfvo type="percent" val="100"/>
        <color theme="0"/>
        <color theme="0"/>
      </colorScale>
    </cfRule>
  </conditionalFormatting>
  <printOptions horizontalCentered="1"/>
  <pageMargins left="0.78740157480314965" right="0.59055118110236227" top="0.59055118110236227" bottom="0.39370078740157483" header="0.39370078740157483" footer="0.19685039370078741"/>
  <pageSetup paperSize="9" scale="72" firstPageNumber="0" fitToHeight="0" orientation="landscape" r:id="rId1"/>
  <colBreaks count="1" manualBreakCount="1">
    <brk id="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5"/>
  <sheetViews>
    <sheetView showGridLines="0" view="pageBreakPreview" zoomScale="115" zoomScaleNormal="100" zoomScaleSheetLayoutView="115" workbookViewId="0">
      <pane ySplit="7" topLeftCell="A32" activePane="bottomLeft" state="frozen"/>
      <selection pane="bottomLeft" activeCell="B2" sqref="B2"/>
    </sheetView>
  </sheetViews>
  <sheetFormatPr defaultRowHeight="12.75"/>
  <cols>
    <col min="1" max="1" width="9.25" style="57" customWidth="1"/>
    <col min="2" max="3" width="18.125" style="57" customWidth="1"/>
    <col min="4" max="4" width="10.125" style="92" customWidth="1"/>
    <col min="5" max="5" width="3.375" style="57" customWidth="1"/>
    <col min="6" max="8" width="11.625" style="57" customWidth="1"/>
    <col min="9" max="16384" width="9" style="57"/>
  </cols>
  <sheetData>
    <row r="1" spans="1:9" ht="72" customHeight="1" thickBot="1">
      <c r="A1" s="56"/>
      <c r="B1" s="221" t="s">
        <v>252</v>
      </c>
      <c r="C1" s="221"/>
      <c r="D1" s="221"/>
      <c r="E1" s="221"/>
      <c r="F1" s="221"/>
      <c r="G1" s="221"/>
      <c r="H1" s="221"/>
    </row>
    <row r="2" spans="1:9" ht="14.25">
      <c r="A2" s="58"/>
      <c r="B2" s="21"/>
      <c r="C2" s="21"/>
      <c r="D2" s="21"/>
      <c r="E2" s="21"/>
      <c r="F2" s="21"/>
      <c r="G2" s="21"/>
      <c r="H2" s="21"/>
    </row>
    <row r="3" spans="1:9" s="19" customFormat="1" ht="15" customHeight="1">
      <c r="A3" s="22" t="s">
        <v>141</v>
      </c>
      <c r="B3" s="23" t="str">
        <f>Sintético!B3</f>
        <v>DRENAGEM DE ÁGUAS SUPERFÍCIAIS</v>
      </c>
      <c r="C3" s="24"/>
      <c r="D3" s="24"/>
      <c r="H3" s="25"/>
    </row>
    <row r="4" spans="1:9" s="19" customFormat="1" ht="15" customHeight="1">
      <c r="A4" s="198"/>
      <c r="B4" s="199"/>
      <c r="C4" s="199"/>
      <c r="D4" s="199"/>
      <c r="E4" s="199"/>
      <c r="F4" s="199"/>
      <c r="G4" s="199"/>
      <c r="H4" s="200"/>
    </row>
    <row r="5" spans="1:9" s="19" customFormat="1" ht="7.5" customHeight="1">
      <c r="A5" s="20"/>
      <c r="B5" s="21"/>
      <c r="C5" s="21"/>
      <c r="D5" s="21"/>
      <c r="E5" s="21"/>
      <c r="F5" s="21"/>
      <c r="G5" s="21"/>
      <c r="H5" s="21"/>
      <c r="I5" s="18"/>
    </row>
    <row r="6" spans="1:9" s="19" customFormat="1" ht="15" customHeight="1">
      <c r="A6" s="22" t="s">
        <v>177</v>
      </c>
      <c r="B6" s="26" t="str">
        <f>CRONOGRAMA!B6</f>
        <v>BAIRRO SÃO JOÃO BATISTA</v>
      </c>
      <c r="C6" s="24"/>
      <c r="D6" s="24"/>
      <c r="E6" s="21"/>
      <c r="F6" s="59"/>
      <c r="G6" s="60" t="s">
        <v>144</v>
      </c>
      <c r="H6" s="27" t="s">
        <v>145</v>
      </c>
      <c r="I6" s="18"/>
    </row>
    <row r="7" spans="1:9" s="19" customFormat="1" ht="15" customHeight="1">
      <c r="A7" s="198"/>
      <c r="B7" s="199"/>
      <c r="C7" s="199"/>
      <c r="D7" s="199"/>
      <c r="E7" s="199"/>
      <c r="F7" s="200"/>
      <c r="G7" s="61">
        <v>45231</v>
      </c>
      <c r="H7" s="28" t="str">
        <f>[1]ORÇAMENTO!K7</f>
        <v>00</v>
      </c>
      <c r="I7" s="18"/>
    </row>
    <row r="8" spans="1:9" ht="7.5" customHeight="1">
      <c r="A8" s="62"/>
      <c r="B8" s="62"/>
      <c r="C8" s="62"/>
      <c r="D8" s="51"/>
      <c r="E8" s="62"/>
      <c r="F8" s="62"/>
      <c r="G8" s="62"/>
      <c r="H8" s="62"/>
    </row>
    <row r="9" spans="1:9" ht="15" customHeight="1">
      <c r="A9" s="222" t="s">
        <v>178</v>
      </c>
      <c r="B9" s="223"/>
      <c r="C9" s="223"/>
      <c r="D9" s="223"/>
      <c r="E9" s="223"/>
      <c r="F9" s="223"/>
      <c r="G9" s="223"/>
      <c r="H9" s="63">
        <v>1</v>
      </c>
    </row>
    <row r="10" spans="1:9" ht="15" customHeight="1">
      <c r="A10" s="224" t="s">
        <v>179</v>
      </c>
      <c r="B10" s="225"/>
      <c r="C10" s="225"/>
      <c r="D10" s="225"/>
      <c r="E10" s="225"/>
      <c r="F10" s="225"/>
      <c r="G10" s="225"/>
      <c r="H10" s="64">
        <v>0.02</v>
      </c>
    </row>
    <row r="11" spans="1:9" ht="15" customHeight="1">
      <c r="A11" s="65"/>
      <c r="B11" s="65"/>
      <c r="C11" s="65"/>
      <c r="D11" s="65"/>
      <c r="E11" s="65"/>
      <c r="F11" s="65"/>
      <c r="G11" s="65"/>
      <c r="H11" s="66"/>
    </row>
    <row r="12" spans="1:9" ht="15" customHeight="1">
      <c r="A12" s="62"/>
      <c r="B12" s="62"/>
      <c r="C12" s="62"/>
      <c r="D12" s="51"/>
      <c r="E12" s="62"/>
      <c r="F12" s="62"/>
      <c r="G12" s="62"/>
      <c r="H12" s="62"/>
    </row>
    <row r="13" spans="1:9" ht="15" customHeight="1">
      <c r="A13" s="226" t="s">
        <v>142</v>
      </c>
      <c r="B13" s="227"/>
      <c r="C13" s="227"/>
      <c r="D13" s="227"/>
      <c r="E13" s="227"/>
      <c r="F13" s="227"/>
      <c r="G13" s="227"/>
      <c r="H13" s="228"/>
    </row>
    <row r="14" spans="1:9" ht="7.5" customHeight="1">
      <c r="A14" s="62"/>
      <c r="B14" s="62"/>
      <c r="C14" s="62"/>
      <c r="D14" s="51"/>
      <c r="E14" s="62"/>
      <c r="F14" s="62"/>
      <c r="G14" s="62"/>
      <c r="H14" s="62"/>
    </row>
    <row r="15" spans="1:9">
      <c r="A15" s="22" t="s">
        <v>180</v>
      </c>
      <c r="B15" s="67"/>
      <c r="C15" s="67"/>
      <c r="D15" s="68"/>
      <c r="E15" s="67"/>
      <c r="F15" s="67"/>
      <c r="G15" s="67"/>
      <c r="H15" s="69"/>
    </row>
    <row r="16" spans="1:9">
      <c r="A16" s="214" t="s">
        <v>181</v>
      </c>
      <c r="B16" s="215"/>
      <c r="C16" s="215"/>
      <c r="D16" s="215"/>
      <c r="E16" s="215"/>
      <c r="F16" s="215"/>
      <c r="G16" s="215"/>
      <c r="H16" s="216"/>
    </row>
    <row r="17" spans="1:8">
      <c r="A17" s="62"/>
      <c r="B17" s="62"/>
      <c r="C17" s="62"/>
      <c r="D17" s="51"/>
      <c r="E17" s="62"/>
      <c r="F17" s="62"/>
      <c r="G17" s="62"/>
      <c r="H17" s="62"/>
    </row>
    <row r="18" spans="1:8">
      <c r="A18" s="217" t="s">
        <v>182</v>
      </c>
      <c r="B18" s="217"/>
      <c r="C18" s="217"/>
      <c r="D18" s="217"/>
      <c r="E18" s="70"/>
      <c r="F18" s="218" t="s">
        <v>183</v>
      </c>
      <c r="G18" s="218"/>
      <c r="H18" s="218"/>
    </row>
    <row r="19" spans="1:8" s="73" customFormat="1">
      <c r="A19" s="71" t="s">
        <v>184</v>
      </c>
      <c r="B19" s="213" t="s">
        <v>185</v>
      </c>
      <c r="C19" s="213"/>
      <c r="D19" s="71" t="s">
        <v>158</v>
      </c>
      <c r="E19" s="67"/>
      <c r="F19" s="71" t="s">
        <v>186</v>
      </c>
      <c r="G19" s="71" t="s">
        <v>187</v>
      </c>
      <c r="H19" s="71" t="s">
        <v>188</v>
      </c>
    </row>
    <row r="20" spans="1:8" s="73" customFormat="1">
      <c r="A20" s="74" t="s">
        <v>189</v>
      </c>
      <c r="B20" s="207" t="s">
        <v>190</v>
      </c>
      <c r="C20" s="207"/>
      <c r="D20" s="76">
        <v>0.05</v>
      </c>
      <c r="E20" s="67"/>
      <c r="F20" s="77">
        <f>VLOOKUP($A$16,AC,2,0)</f>
        <v>0.03</v>
      </c>
      <c r="G20" s="77">
        <f>VLOOKUP($A$16,AC,3,0)</f>
        <v>0.04</v>
      </c>
      <c r="H20" s="77">
        <f>VLOOKUP($A$16,AC,4,0)</f>
        <v>5.5E-2</v>
      </c>
    </row>
    <row r="21" spans="1:8" s="73" customFormat="1">
      <c r="A21" s="78" t="s">
        <v>191</v>
      </c>
      <c r="B21" s="208" t="s">
        <v>192</v>
      </c>
      <c r="C21" s="208"/>
      <c r="D21" s="80">
        <v>0.01</v>
      </c>
      <c r="E21" s="67"/>
      <c r="F21" s="81">
        <f>VLOOKUP($A$16,SG,2,0)</f>
        <v>8.0000000000000002E-3</v>
      </c>
      <c r="G21" s="81">
        <f>VLOOKUP($A$16,SG,3,0)</f>
        <v>8.0000000000000002E-3</v>
      </c>
      <c r="H21" s="81">
        <f>VLOOKUP($A$16,SG,4,0)</f>
        <v>0.01</v>
      </c>
    </row>
    <row r="22" spans="1:8" s="73" customFormat="1">
      <c r="A22" s="74" t="s">
        <v>193</v>
      </c>
      <c r="B22" s="207" t="s">
        <v>194</v>
      </c>
      <c r="C22" s="207"/>
      <c r="D22" s="76">
        <v>1.2699999999999999E-2</v>
      </c>
      <c r="E22" s="67"/>
      <c r="F22" s="77">
        <f>VLOOKUP($A$16,RISCO,2,0)</f>
        <v>9.7000000000000003E-3</v>
      </c>
      <c r="G22" s="77">
        <f>VLOOKUP($A$16,RISCO,3,0)</f>
        <v>1.2699999999999999E-2</v>
      </c>
      <c r="H22" s="77">
        <f>VLOOKUP($A$16,RISCO,4,0)</f>
        <v>1.2699999999999999E-2</v>
      </c>
    </row>
    <row r="23" spans="1:8" s="73" customFormat="1">
      <c r="A23" s="78" t="s">
        <v>195</v>
      </c>
      <c r="B23" s="208" t="s">
        <v>196</v>
      </c>
      <c r="C23" s="208"/>
      <c r="D23" s="80">
        <v>1.24E-2</v>
      </c>
      <c r="E23" s="67"/>
      <c r="F23" s="81">
        <f>VLOOKUP($A$16,DF,2,0)</f>
        <v>5.8999999999999999E-3</v>
      </c>
      <c r="G23" s="81">
        <f>VLOOKUP($A$16,DF,3,0)</f>
        <v>1.23E-2</v>
      </c>
      <c r="H23" s="81">
        <f>VLOOKUP($A$16,DF,4,0)</f>
        <v>1.3899999999999999E-2</v>
      </c>
    </row>
    <row r="24" spans="1:8" s="73" customFormat="1">
      <c r="A24" s="74" t="s">
        <v>197</v>
      </c>
      <c r="B24" s="207" t="s">
        <v>198</v>
      </c>
      <c r="C24" s="207"/>
      <c r="D24" s="82">
        <v>8.5999999999999993E-2</v>
      </c>
      <c r="E24" s="67"/>
      <c r="F24" s="77">
        <f>VLOOKUP($A$16,LUCRO,2,0)</f>
        <v>6.1600000000000002E-2</v>
      </c>
      <c r="G24" s="77">
        <f>VLOOKUP($A$16,LUCRO,3,0)</f>
        <v>7.3999999999999996E-2</v>
      </c>
      <c r="H24" s="77">
        <f>VLOOKUP($A$16,LUCRO,4,0)</f>
        <v>8.9599999999999999E-2</v>
      </c>
    </row>
    <row r="25" spans="1:8" s="73" customFormat="1">
      <c r="A25" s="78" t="s">
        <v>199</v>
      </c>
      <c r="B25" s="208" t="s">
        <v>200</v>
      </c>
      <c r="C25" s="208"/>
      <c r="D25" s="83">
        <v>3.6499999999999998E-2</v>
      </c>
      <c r="E25" s="67"/>
      <c r="F25" s="81">
        <v>3.6499999999999998E-2</v>
      </c>
      <c r="G25" s="81">
        <v>3.6499999999999998E-2</v>
      </c>
      <c r="H25" s="81">
        <v>3.6499999999999998E-2</v>
      </c>
    </row>
    <row r="26" spans="1:8" s="73" customFormat="1">
      <c r="A26" s="74" t="s">
        <v>201</v>
      </c>
      <c r="B26" s="207" t="s">
        <v>202</v>
      </c>
      <c r="C26" s="207"/>
      <c r="D26" s="82">
        <v>0.02</v>
      </c>
      <c r="E26" s="67"/>
      <c r="F26" s="77">
        <v>0</v>
      </c>
      <c r="G26" s="77">
        <v>2.5000000000000001E-2</v>
      </c>
      <c r="H26" s="77">
        <v>0.05</v>
      </c>
    </row>
    <row r="27" spans="1:8" s="73" customFormat="1">
      <c r="A27" s="78" t="s">
        <v>203</v>
      </c>
      <c r="B27" s="208" t="s">
        <v>204</v>
      </c>
      <c r="C27" s="208"/>
      <c r="D27" s="83">
        <v>4.4999999999999998E-2</v>
      </c>
      <c r="E27" s="67"/>
      <c r="F27" s="81">
        <v>0</v>
      </c>
      <c r="G27" s="81">
        <v>4.4999999999999998E-2</v>
      </c>
      <c r="H27" s="81">
        <v>4.4999999999999998E-2</v>
      </c>
    </row>
    <row r="28" spans="1:8" s="73" customFormat="1" ht="16.5" customHeight="1">
      <c r="A28" s="84" t="s">
        <v>205</v>
      </c>
      <c r="B28" s="85" t="s">
        <v>206</v>
      </c>
      <c r="C28" s="84"/>
      <c r="D28" s="86">
        <f>ROUND((((1+D20+D21+D22)*(1+D23)*(1+D24)/(1-(D25+D26)))-1),4)</f>
        <v>0.25</v>
      </c>
      <c r="E28" s="67"/>
      <c r="F28" s="87">
        <f>VLOOKUP($A$16,VALOR_BDI,2,FALSE)</f>
        <v>0.2034</v>
      </c>
      <c r="G28" s="87">
        <f>VLOOKUP($A$16,VALOR_BDI,3,FALSE)</f>
        <v>0.22120000000000001</v>
      </c>
      <c r="H28" s="87">
        <f>VLOOKUP($A$16,VALOR_BDI,4,FALSE)</f>
        <v>0.25</v>
      </c>
    </row>
    <row r="29" spans="1:8">
      <c r="A29" s="88" t="s">
        <v>205</v>
      </c>
      <c r="B29" s="89" t="s">
        <v>207</v>
      </c>
      <c r="C29" s="88"/>
      <c r="D29" s="90">
        <f>ROUND((((1+D20+D21+D22)*(1+D23)*(1+D24)/(1-(D25+D26+D27)))-1),4)</f>
        <v>0.31259999999999999</v>
      </c>
      <c r="E29" s="67"/>
      <c r="F29" s="209"/>
      <c r="G29" s="209"/>
      <c r="H29" s="209"/>
    </row>
    <row r="30" spans="1:8">
      <c r="A30" s="42" t="s">
        <v>221</v>
      </c>
      <c r="B30" s="62"/>
      <c r="C30" s="128">
        <f>D28</f>
        <v>0.25</v>
      </c>
      <c r="D30" s="51"/>
      <c r="E30" s="62"/>
      <c r="F30" s="206" t="s">
        <v>208</v>
      </c>
      <c r="G30" s="206"/>
      <c r="H30" s="206"/>
    </row>
    <row r="31" spans="1:8">
      <c r="A31" s="42"/>
      <c r="B31" s="62"/>
      <c r="C31" s="62"/>
      <c r="D31" s="51"/>
      <c r="E31" s="62"/>
      <c r="F31" s="91"/>
      <c r="G31" s="91"/>
      <c r="H31" s="91"/>
    </row>
    <row r="33" spans="1:8">
      <c r="A33" s="219" t="s">
        <v>209</v>
      </c>
      <c r="B33" s="219"/>
      <c r="C33" s="219"/>
      <c r="D33" s="219"/>
      <c r="E33" s="219"/>
      <c r="F33" s="219"/>
      <c r="G33" s="219"/>
      <c r="H33" s="219"/>
    </row>
    <row r="34" spans="1:8">
      <c r="A34" s="62"/>
      <c r="B34" s="62"/>
      <c r="C34" s="62"/>
      <c r="D34" s="51"/>
      <c r="E34" s="62"/>
      <c r="F34" s="62"/>
      <c r="G34" s="62"/>
      <c r="H34" s="62"/>
    </row>
    <row r="35" spans="1:8">
      <c r="A35" s="62"/>
      <c r="B35" s="62"/>
      <c r="C35" s="62"/>
      <c r="D35" s="51"/>
      <c r="E35" s="62"/>
      <c r="F35" s="62"/>
      <c r="G35" s="62"/>
      <c r="H35" s="62"/>
    </row>
    <row r="36" spans="1:8">
      <c r="A36" s="62"/>
      <c r="B36" s="62"/>
      <c r="C36" s="62"/>
      <c r="D36" s="51"/>
      <c r="E36" s="62"/>
      <c r="F36" s="62"/>
      <c r="G36" s="62"/>
      <c r="H36" s="62"/>
    </row>
    <row r="37" spans="1:8">
      <c r="A37" s="62"/>
      <c r="B37" s="62"/>
      <c r="C37" s="62"/>
      <c r="D37" s="51"/>
      <c r="E37" s="62"/>
      <c r="F37" s="62"/>
      <c r="G37" s="62"/>
      <c r="H37" s="62"/>
    </row>
    <row r="38" spans="1:8" ht="30" customHeight="1">
      <c r="A38" s="220" t="str">
        <f>CONCATENATE("Declaramos para os devidos fins que, conforme legislação municipal, a base de cálculo deste tipo de obra corresponde à ",H9*100,"%, com a respectiva alíquota de ",H10*100,"%.")</f>
        <v>Declaramos para os devidos fins que, conforme legislação municipal, a base de cálculo deste tipo de obra corresponde à 100%, com a respectiva alíquota de 2%.</v>
      </c>
      <c r="B38" s="211"/>
      <c r="C38" s="211"/>
      <c r="D38" s="211"/>
      <c r="E38" s="211"/>
      <c r="F38" s="211"/>
      <c r="G38" s="211"/>
      <c r="H38" s="212"/>
    </row>
    <row r="39" spans="1:8" ht="7.5" customHeight="1"/>
    <row r="40" spans="1:8" ht="30" customHeight="1">
      <c r="A40" s="210" t="s">
        <v>210</v>
      </c>
      <c r="B40" s="211"/>
      <c r="C40" s="211"/>
      <c r="D40" s="211"/>
      <c r="E40" s="211"/>
      <c r="F40" s="211"/>
      <c r="G40" s="211"/>
      <c r="H40" s="212"/>
    </row>
    <row r="44" spans="1:8" ht="18">
      <c r="A44" s="226" t="s">
        <v>143</v>
      </c>
      <c r="B44" s="227"/>
      <c r="C44" s="227"/>
      <c r="D44" s="227"/>
      <c r="E44" s="227"/>
      <c r="F44" s="227"/>
      <c r="G44" s="227"/>
      <c r="H44" s="228"/>
    </row>
    <row r="45" spans="1:8">
      <c r="A45" s="62"/>
      <c r="B45" s="62"/>
      <c r="C45" s="62"/>
      <c r="D45" s="93"/>
      <c r="E45" s="62"/>
      <c r="F45" s="62"/>
      <c r="G45" s="62"/>
      <c r="H45" s="62"/>
    </row>
    <row r="46" spans="1:8">
      <c r="A46" s="22" t="s">
        <v>180</v>
      </c>
      <c r="B46" s="67"/>
      <c r="C46" s="67"/>
      <c r="D46" s="68"/>
      <c r="E46" s="67"/>
      <c r="F46" s="67"/>
      <c r="G46" s="67"/>
      <c r="H46" s="69"/>
    </row>
    <row r="47" spans="1:8">
      <c r="A47" s="214" t="s">
        <v>181</v>
      </c>
      <c r="B47" s="215"/>
      <c r="C47" s="215"/>
      <c r="D47" s="215"/>
      <c r="E47" s="215"/>
      <c r="F47" s="215"/>
      <c r="G47" s="215"/>
      <c r="H47" s="216"/>
    </row>
    <row r="48" spans="1:8">
      <c r="A48" s="62"/>
      <c r="B48" s="62"/>
      <c r="C48" s="62"/>
      <c r="D48" s="93"/>
      <c r="E48" s="62"/>
      <c r="F48" s="62"/>
      <c r="G48" s="62"/>
      <c r="H48" s="62"/>
    </row>
    <row r="49" spans="1:8">
      <c r="A49" s="217" t="s">
        <v>182</v>
      </c>
      <c r="B49" s="217"/>
      <c r="C49" s="217"/>
      <c r="D49" s="217"/>
      <c r="E49" s="70"/>
      <c r="F49" s="218" t="s">
        <v>183</v>
      </c>
      <c r="G49" s="218"/>
      <c r="H49" s="218"/>
    </row>
    <row r="50" spans="1:8">
      <c r="A50" s="72" t="s">
        <v>184</v>
      </c>
      <c r="B50" s="213" t="s">
        <v>185</v>
      </c>
      <c r="C50" s="213"/>
      <c r="D50" s="72" t="s">
        <v>158</v>
      </c>
      <c r="E50" s="67"/>
      <c r="F50" s="72" t="s">
        <v>186</v>
      </c>
      <c r="G50" s="72" t="s">
        <v>187</v>
      </c>
      <c r="H50" s="72" t="s">
        <v>188</v>
      </c>
    </row>
    <row r="51" spans="1:8">
      <c r="A51" s="75" t="s">
        <v>189</v>
      </c>
      <c r="B51" s="207" t="s">
        <v>190</v>
      </c>
      <c r="C51" s="207"/>
      <c r="D51" s="76">
        <v>1.4999999999999999E-2</v>
      </c>
      <c r="E51" s="67"/>
      <c r="F51" s="77">
        <v>1.4999999999999999E-2</v>
      </c>
      <c r="G51" s="77">
        <v>3.4500000000000003E-2</v>
      </c>
      <c r="H51" s="77">
        <v>4.4900000000000002E-2</v>
      </c>
    </row>
    <row r="52" spans="1:8">
      <c r="A52" s="79" t="s">
        <v>191</v>
      </c>
      <c r="B52" s="208" t="s">
        <v>192</v>
      </c>
      <c r="C52" s="208"/>
      <c r="D52" s="80">
        <v>3.0000000000000001E-3</v>
      </c>
      <c r="E52" s="67"/>
      <c r="F52" s="81">
        <v>3.0000000000000001E-3</v>
      </c>
      <c r="G52" s="81">
        <v>4.7999999999999996E-3</v>
      </c>
      <c r="H52" s="81">
        <v>8.2000000000000007E-3</v>
      </c>
    </row>
    <row r="53" spans="1:8">
      <c r="A53" s="75" t="s">
        <v>193</v>
      </c>
      <c r="B53" s="207" t="s">
        <v>194</v>
      </c>
      <c r="C53" s="207"/>
      <c r="D53" s="76">
        <v>5.7000000000000002E-3</v>
      </c>
      <c r="E53" s="67"/>
      <c r="F53" s="77">
        <v>5.5999999999999999E-3</v>
      </c>
      <c r="G53" s="77">
        <v>8.5000000000000006E-3</v>
      </c>
      <c r="H53" s="77">
        <v>8.8999999999999999E-3</v>
      </c>
    </row>
    <row r="54" spans="1:8">
      <c r="A54" s="79" t="s">
        <v>195</v>
      </c>
      <c r="B54" s="208" t="s">
        <v>196</v>
      </c>
      <c r="C54" s="208"/>
      <c r="D54" s="80">
        <v>8.5000000000000006E-3</v>
      </c>
      <c r="E54" s="67"/>
      <c r="F54" s="81">
        <v>8.5000000000000006E-3</v>
      </c>
      <c r="G54" s="81">
        <v>8.5000000000000006E-3</v>
      </c>
      <c r="H54" s="81">
        <v>1.11E-2</v>
      </c>
    </row>
    <row r="55" spans="1:8">
      <c r="A55" s="75" t="s">
        <v>197</v>
      </c>
      <c r="B55" s="207" t="s">
        <v>198</v>
      </c>
      <c r="C55" s="207"/>
      <c r="D55" s="82">
        <v>5.0999999999999997E-2</v>
      </c>
      <c r="E55" s="67"/>
      <c r="F55" s="77">
        <v>3.5000000000000003E-2</v>
      </c>
      <c r="G55" s="77">
        <v>5.11E-2</v>
      </c>
      <c r="H55" s="77">
        <v>6.2199999999999998E-2</v>
      </c>
    </row>
    <row r="56" spans="1:8">
      <c r="A56" s="79" t="s">
        <v>199</v>
      </c>
      <c r="B56" s="208" t="s">
        <v>200</v>
      </c>
      <c r="C56" s="208"/>
      <c r="D56" s="83">
        <v>3.6499999999999998E-2</v>
      </c>
      <c r="E56" s="67"/>
      <c r="F56" s="81">
        <v>3.6499999999999998E-2</v>
      </c>
      <c r="G56" s="81">
        <v>3.6499999999999998E-2</v>
      </c>
      <c r="H56" s="81">
        <v>3.6499999999999998E-2</v>
      </c>
    </row>
    <row r="57" spans="1:8">
      <c r="A57" s="75" t="s">
        <v>201</v>
      </c>
      <c r="B57" s="207" t="s">
        <v>202</v>
      </c>
      <c r="C57" s="207"/>
      <c r="D57" s="82">
        <v>0.02</v>
      </c>
      <c r="E57" s="67"/>
      <c r="F57" s="77">
        <v>0</v>
      </c>
      <c r="G57" s="77">
        <v>2.5000000000000001E-2</v>
      </c>
      <c r="H57" s="77">
        <v>0.05</v>
      </c>
    </row>
    <row r="58" spans="1:8">
      <c r="A58" s="79" t="s">
        <v>203</v>
      </c>
      <c r="B58" s="208" t="s">
        <v>204</v>
      </c>
      <c r="C58" s="208"/>
      <c r="D58" s="83">
        <v>4.4999999999999998E-2</v>
      </c>
      <c r="E58" s="67"/>
      <c r="F58" s="81">
        <v>0</v>
      </c>
      <c r="G58" s="81">
        <v>4.4999999999999998E-2</v>
      </c>
      <c r="H58" s="81">
        <v>4.4999999999999998E-2</v>
      </c>
    </row>
    <row r="59" spans="1:8">
      <c r="A59" s="84" t="s">
        <v>205</v>
      </c>
      <c r="B59" s="85" t="s">
        <v>206</v>
      </c>
      <c r="C59" s="84"/>
      <c r="D59" s="129">
        <f>ROUND((((1+D51+D52+D53)*(1+D54)*(1+D55)/(1-(D56+D57)))-1),4)</f>
        <v>0.15</v>
      </c>
      <c r="E59" s="67"/>
      <c r="F59" s="87">
        <v>0.111</v>
      </c>
      <c r="G59" s="87">
        <v>0.14019999999999999</v>
      </c>
      <c r="H59" s="87">
        <v>0.16800000000000001</v>
      </c>
    </row>
    <row r="60" spans="1:8">
      <c r="A60" s="88" t="s">
        <v>205</v>
      </c>
      <c r="B60" s="89" t="s">
        <v>207</v>
      </c>
      <c r="C60" s="88"/>
      <c r="D60" s="90">
        <f>ROUND((((1+D51+D52+D53)*(1+D54)*(1+D55)/(1-(D56+D57+D58)))-1),4)</f>
        <v>0.20760000000000001</v>
      </c>
      <c r="E60" s="67"/>
      <c r="F60" s="209"/>
      <c r="G60" s="209"/>
      <c r="H60" s="209"/>
    </row>
    <row r="61" spans="1:8">
      <c r="A61" s="42" t="s">
        <v>221</v>
      </c>
      <c r="B61" s="62"/>
      <c r="C61" s="128">
        <f>D59</f>
        <v>0.15</v>
      </c>
      <c r="D61" s="93"/>
      <c r="E61" s="62"/>
      <c r="F61" s="206" t="s">
        <v>208</v>
      </c>
      <c r="G61" s="206"/>
      <c r="H61" s="206"/>
    </row>
    <row r="62" spans="1:8">
      <c r="A62" s="42"/>
      <c r="B62" s="62"/>
      <c r="C62" s="62"/>
      <c r="D62" s="93"/>
      <c r="E62" s="62"/>
      <c r="F62" s="91"/>
      <c r="G62" s="91"/>
      <c r="H62" s="91"/>
    </row>
    <row r="64" spans="1:8">
      <c r="A64" s="219" t="s">
        <v>209</v>
      </c>
      <c r="B64" s="219"/>
      <c r="C64" s="219"/>
      <c r="D64" s="219"/>
      <c r="E64" s="219"/>
      <c r="F64" s="219"/>
      <c r="G64" s="219"/>
      <c r="H64" s="219"/>
    </row>
    <row r="65" spans="1:8">
      <c r="A65" s="62"/>
      <c r="B65" s="62"/>
      <c r="C65" s="62"/>
      <c r="D65" s="93"/>
      <c r="E65" s="62"/>
      <c r="F65" s="62"/>
      <c r="G65" s="62"/>
      <c r="H65" s="62"/>
    </row>
    <row r="66" spans="1:8">
      <c r="A66" s="62"/>
      <c r="B66" s="62"/>
      <c r="C66" s="62"/>
      <c r="D66" s="93"/>
      <c r="E66" s="62"/>
      <c r="F66" s="62"/>
      <c r="G66" s="62"/>
      <c r="H66" s="62"/>
    </row>
    <row r="67" spans="1:8">
      <c r="A67" s="62"/>
      <c r="B67" s="62"/>
      <c r="C67" s="62"/>
      <c r="D67" s="93"/>
      <c r="E67" s="62"/>
      <c r="F67" s="62"/>
      <c r="G67" s="62"/>
      <c r="H67" s="62"/>
    </row>
    <row r="68" spans="1:8">
      <c r="A68" s="62"/>
      <c r="B68" s="62"/>
      <c r="C68" s="62"/>
      <c r="D68" s="93"/>
      <c r="E68" s="62"/>
      <c r="F68" s="62"/>
      <c r="G68" s="62"/>
      <c r="H68" s="62"/>
    </row>
    <row r="69" spans="1:8">
      <c r="A69" s="220" t="str">
        <f>CONCATENATE("Declaramos para os devidos fins que, conforme legislação municipal, a base de cálculo deste tipo de obra corresponde à ",H40*100,"%, com a respectiva alíquota de ",H41*100,"%.")</f>
        <v>Declaramos para os devidos fins que, conforme legislação municipal, a base de cálculo deste tipo de obra corresponde à 0%, com a respectiva alíquota de 0%.</v>
      </c>
      <c r="B69" s="211"/>
      <c r="C69" s="211"/>
      <c r="D69" s="211"/>
      <c r="E69" s="211"/>
      <c r="F69" s="211"/>
      <c r="G69" s="211"/>
      <c r="H69" s="212"/>
    </row>
    <row r="71" spans="1:8">
      <c r="A71" s="210" t="s">
        <v>210</v>
      </c>
      <c r="B71" s="211"/>
      <c r="C71" s="211"/>
      <c r="D71" s="211"/>
      <c r="E71" s="211"/>
      <c r="F71" s="211"/>
      <c r="G71" s="211"/>
      <c r="H71" s="212"/>
    </row>
    <row r="90" spans="4:4" ht="12.75" customHeight="1"/>
    <row r="92" spans="4:4" ht="12.75" customHeight="1"/>
    <row r="93" spans="4:4">
      <c r="D93" s="57"/>
    </row>
    <row r="94" spans="4:4">
      <c r="D94" s="57"/>
    </row>
    <row r="95" spans="4:4">
      <c r="D95" s="57"/>
    </row>
  </sheetData>
  <mergeCells count="41">
    <mergeCell ref="A64:H64"/>
    <mergeCell ref="A69:H69"/>
    <mergeCell ref="A71:H71"/>
    <mergeCell ref="B21:C21"/>
    <mergeCell ref="B1:H1"/>
    <mergeCell ref="A4:H4"/>
    <mergeCell ref="A7:F7"/>
    <mergeCell ref="A9:G9"/>
    <mergeCell ref="A10:G10"/>
    <mergeCell ref="A13:H13"/>
    <mergeCell ref="A16:H16"/>
    <mergeCell ref="A18:D18"/>
    <mergeCell ref="F18:H18"/>
    <mergeCell ref="B19:C19"/>
    <mergeCell ref="B20:C20"/>
    <mergeCell ref="A44:H44"/>
    <mergeCell ref="B22:C22"/>
    <mergeCell ref="B23:C23"/>
    <mergeCell ref="B24:C24"/>
    <mergeCell ref="B25:C25"/>
    <mergeCell ref="B26:C26"/>
    <mergeCell ref="B27:C27"/>
    <mergeCell ref="F29:H29"/>
    <mergeCell ref="F30:H30"/>
    <mergeCell ref="A33:H33"/>
    <mergeCell ref="A38:H38"/>
    <mergeCell ref="A40:H40"/>
    <mergeCell ref="B50:C50"/>
    <mergeCell ref="A47:H47"/>
    <mergeCell ref="A49:D49"/>
    <mergeCell ref="F49:H49"/>
    <mergeCell ref="F61:H61"/>
    <mergeCell ref="B51:C51"/>
    <mergeCell ref="B52:C52"/>
    <mergeCell ref="B53:C53"/>
    <mergeCell ref="B54:C54"/>
    <mergeCell ref="B55:C55"/>
    <mergeCell ref="B56:C56"/>
    <mergeCell ref="B57:C57"/>
    <mergeCell ref="B58:C58"/>
    <mergeCell ref="F60:H60"/>
  </mergeCells>
  <conditionalFormatting sqref="D20:D27">
    <cfRule type="cellIs" dxfId="4" priority="4" operator="notBetween">
      <formula>$F20</formula>
      <formula>$H20</formula>
    </cfRule>
  </conditionalFormatting>
  <conditionalFormatting sqref="D28">
    <cfRule type="cellIs" dxfId="3" priority="5" operator="notBetween">
      <formula>$F$28</formula>
      <formula>$H28</formula>
    </cfRule>
  </conditionalFormatting>
  <conditionalFormatting sqref="A30:D31">
    <cfRule type="expression" dxfId="2" priority="6">
      <formula>OR($A$30="S E L E C I O N E   U M   B D I !",$A$30="S E L E C I O N E   A P E N A S   U M A   O P Ç Ã O   D E   B D I !")</formula>
    </cfRule>
  </conditionalFormatting>
  <conditionalFormatting sqref="D51:D58">
    <cfRule type="cellIs" dxfId="1" priority="1" operator="notBetween">
      <formula>$F51</formula>
      <formula>$H51</formula>
    </cfRule>
  </conditionalFormatting>
  <conditionalFormatting sqref="A61:D62">
    <cfRule type="expression" dxfId="0" priority="3">
      <formula>OR($A$30="S E L E C I O N E   U M   B D I !",$A$30="S E L E C I O N E   A P E N A S   U M A   O P Ç Ã O   D E   B D I !")</formula>
    </cfRule>
  </conditionalFormatting>
  <dataValidations disablePrompts="1" count="1">
    <dataValidation type="list" allowBlank="1" showInputMessage="1" showErrorMessage="1" sqref="A16 A47">
      <formula1>TIP_OBRA</formula1>
    </dataValidation>
  </dataValidations>
  <pageMargins left="0.98425196850393704" right="0.39370078740157483" top="0.78740157480314965" bottom="0.78740157480314965" header="0.31496062992125984" footer="0.31496062992125984"/>
  <pageSetup paperSize="9" scale="74" orientation="portrait" r:id="rId1"/>
  <headerFooter>
    <oddHeader>&amp;A</oddHeader>
    <oddFooter>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macro="[0]!Clique1_BDI">
                <anchor moveWithCells="1">
                  <from>
                    <xdr:col>0</xdr:col>
                    <xdr:colOff>47625</xdr:colOff>
                    <xdr:row>27</xdr:row>
                    <xdr:rowOff>0</xdr:rowOff>
                  </from>
                  <to>
                    <xdr:col>0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27</xdr:row>
                    <xdr:rowOff>180975</xdr:rowOff>
                  </from>
                  <to>
                    <xdr:col>0</xdr:col>
                    <xdr:colOff>314325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 macro="[0]!Clique1_BDI">
                <anchor moveWithCells="1">
                  <from>
                    <xdr:col>0</xdr:col>
                    <xdr:colOff>47625</xdr:colOff>
                    <xdr:row>58</xdr:row>
                    <xdr:rowOff>0</xdr:rowOff>
                  </from>
                  <to>
                    <xdr:col>0</xdr:col>
                    <xdr:colOff>314325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0</xdr:col>
                    <xdr:colOff>47625</xdr:colOff>
                    <xdr:row>58</xdr:row>
                    <xdr:rowOff>180975</xdr:rowOff>
                  </from>
                  <to>
                    <xdr:col>0</xdr:col>
                    <xdr:colOff>314325</xdr:colOff>
                    <xdr:row>60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12</vt:i4>
      </vt:variant>
    </vt:vector>
  </HeadingPairs>
  <TitlesOfParts>
    <vt:vector size="19" baseType="lpstr">
      <vt:lpstr>Orçamento Bacia I</vt:lpstr>
      <vt:lpstr>Orçamento Bacia II</vt:lpstr>
      <vt:lpstr>Orçamento Bacia III</vt:lpstr>
      <vt:lpstr>Orçamento Bacia IV</vt:lpstr>
      <vt:lpstr>Sintético</vt:lpstr>
      <vt:lpstr>CRONOGRAMA</vt:lpstr>
      <vt:lpstr>BDI</vt:lpstr>
      <vt:lpstr>BDI!Area_de_impressao</vt:lpstr>
      <vt:lpstr>CRONOGRAMA!Area_de_impressao</vt:lpstr>
      <vt:lpstr>'Orçamento Bacia I'!Area_de_impressao</vt:lpstr>
      <vt:lpstr>'Orçamento Bacia II'!Area_de_impressao</vt:lpstr>
      <vt:lpstr>'Orçamento Bacia III'!Area_de_impressao</vt:lpstr>
      <vt:lpstr>'Orçamento Bacia IV'!Area_de_impressao</vt:lpstr>
      <vt:lpstr>Sintético!Area_de_impressao</vt:lpstr>
      <vt:lpstr>'Orçamento Bacia I'!Titulos_de_impressao</vt:lpstr>
      <vt:lpstr>'Orçamento Bacia II'!Titulos_de_impressao</vt:lpstr>
      <vt:lpstr>'Orçamento Bacia III'!Titulos_de_impressao</vt:lpstr>
      <vt:lpstr>'Orçamento Bacia IV'!Titulos_de_impressao</vt:lpstr>
      <vt:lpstr>Sintético!Titulos_de_impressao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licitacao002</cp:lastModifiedBy>
  <cp:revision>0</cp:revision>
  <cp:lastPrinted>2024-02-09T12:08:24Z</cp:lastPrinted>
  <dcterms:created xsi:type="dcterms:W3CDTF">2023-11-24T12:48:43Z</dcterms:created>
  <dcterms:modified xsi:type="dcterms:W3CDTF">2024-03-13T14:45:55Z</dcterms:modified>
</cp:coreProperties>
</file>