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65" windowHeight="9300" tabRatio="598" activeTab="3"/>
  </bookViews>
  <sheets>
    <sheet name="ORÇAMENTO" sheetId="1" r:id="rId1"/>
    <sheet name="BDI" sheetId="2" r:id="rId2"/>
    <sheet name="COMPOSIÇÃO EXTRA" sheetId="3" r:id="rId3"/>
    <sheet name="Cronograma" sheetId="4" r:id="rId4"/>
  </sheets>
  <definedNames>
    <definedName name="_xlnm.Print_Area" localSheetId="2">'COMPOSIÇÃO EXTRA'!$A$1:$I$46</definedName>
    <definedName name="_xlnm.Print_Area" localSheetId="3">'Cronograma'!$A$1:$I$43</definedName>
    <definedName name="_xlnm.Print_Area" localSheetId="0">'ORÇAMENTO'!$A$1:$J$96</definedName>
    <definedName name="_xlnm.Print_Titles" localSheetId="2">'COMPOSIÇÃO EXTRA'!$1:$6</definedName>
    <definedName name="_xlnm.Print_Titles" localSheetId="0">'ORÇAMENTO'!$1:$7</definedName>
  </definedNames>
  <calcPr fullCalcOnLoad="1"/>
</workbook>
</file>

<file path=xl/sharedStrings.xml><?xml version="1.0" encoding="utf-8"?>
<sst xmlns="http://schemas.openxmlformats.org/spreadsheetml/2006/main" count="466" uniqueCount="309">
  <si>
    <t>TOMADOR:</t>
  </si>
  <si>
    <t>SAAE - Serviço Autônomo de Água e Esgoto de São Carlos</t>
  </si>
  <si>
    <t>FUNDO ESTADUAL DE RECURSOS HÍDRICOS - FEHIDRO</t>
  </si>
  <si>
    <t>EMPREENDIMENTO:</t>
  </si>
  <si>
    <t>Nº</t>
  </si>
  <si>
    <t>ITEM</t>
  </si>
  <si>
    <t>UNIDADE</t>
  </si>
  <si>
    <t>QUANT.</t>
  </si>
  <si>
    <t>VALOR TOTAL</t>
  </si>
  <si>
    <t>FONTE DO RECURSO</t>
  </si>
  <si>
    <t>FEHIDRO</t>
  </si>
  <si>
    <t>OUTRAS FONTES FINANCIADORAS</t>
  </si>
  <si>
    <t>1.0</t>
  </si>
  <si>
    <t>1.1</t>
  </si>
  <si>
    <t>1.2</t>
  </si>
  <si>
    <t>m²</t>
  </si>
  <si>
    <t>Sub total 1</t>
  </si>
  <si>
    <t>2.0</t>
  </si>
  <si>
    <t>Serviços Técnicos</t>
  </si>
  <si>
    <t>2.1</t>
  </si>
  <si>
    <t>m</t>
  </si>
  <si>
    <t>2.2</t>
  </si>
  <si>
    <t>2.3</t>
  </si>
  <si>
    <t>unid.</t>
  </si>
  <si>
    <t>Sub total 2</t>
  </si>
  <si>
    <t>3.0</t>
  </si>
  <si>
    <t>Sinalização das Obras</t>
  </si>
  <si>
    <t>3.1</t>
  </si>
  <si>
    <t>3.2</t>
  </si>
  <si>
    <t>Sub total 3</t>
  </si>
  <si>
    <t>4.0</t>
  </si>
  <si>
    <t>Escavação em Geral</t>
  </si>
  <si>
    <t>4.1</t>
  </si>
  <si>
    <t>4.2</t>
  </si>
  <si>
    <t>4.3</t>
  </si>
  <si>
    <t>m³</t>
  </si>
  <si>
    <t>Sub total 4</t>
  </si>
  <si>
    <t>5.0</t>
  </si>
  <si>
    <t>5.1</t>
  </si>
  <si>
    <t>6.0</t>
  </si>
  <si>
    <t>Reaterro de Valas</t>
  </si>
  <si>
    <t>6.1</t>
  </si>
  <si>
    <t>7.0</t>
  </si>
  <si>
    <t>7.1</t>
  </si>
  <si>
    <t>m³xkm</t>
  </si>
  <si>
    <t>Sub total 7</t>
  </si>
  <si>
    <t>8.0</t>
  </si>
  <si>
    <t xml:space="preserve">Ancoragem de Conexões </t>
  </si>
  <si>
    <t>8.1</t>
  </si>
  <si>
    <t>Sub total 8</t>
  </si>
  <si>
    <t>9.0</t>
  </si>
  <si>
    <t>Sub total 9</t>
  </si>
  <si>
    <t>Pavimentação</t>
  </si>
  <si>
    <t>TOTAIS</t>
  </si>
  <si>
    <t>RESPONSÁVEL LEGAL (1)</t>
  </si>
  <si>
    <t xml:space="preserve">Responsável Técnico </t>
  </si>
  <si>
    <t xml:space="preserve">TOMADOR:  </t>
  </si>
  <si>
    <t>SAAE-Serviço Autônomo de Água e Esgoto de São Carlos</t>
  </si>
  <si>
    <t>DISCRIMINAÇÃO</t>
  </si>
  <si>
    <t>realizado até</t>
  </si>
  <si>
    <t>A Realizar em (x  ) Mes(es)  (   ) Bimestre(s)  (   ) Trimestre(s)  (   ) Quadrimestre(s)  (   ) Semestre(s)</t>
  </si>
  <si>
    <t>ÚLTIMA</t>
  </si>
  <si>
    <t>Total (em R$)</t>
  </si>
  <si>
    <t>DE  ATIVIDADES</t>
  </si>
  <si>
    <t xml:space="preserve">  /    /     </t>
  </si>
  <si>
    <t>Programação Financeira Preliminar (Preenchida pelo Proponente) - Utilize as colunas ao lado para indicar as parcelas de liberações previstas, conf. o desenvolvimento do empreendimento e/ou o processo licitatório, sendo a última de no mínimo 10% do valor F</t>
  </si>
  <si>
    <t>DESEMBOLSO APROVADO  (Preenchido pelo AgenteTécnico, define número e valor de cada parcela)</t>
  </si>
  <si>
    <t>CONTRAPARTIDA APROVADA  (Preenchido pelo AgenteTécnico, define número e valor de cada parcela))</t>
  </si>
  <si>
    <t>Responsável Técnico</t>
  </si>
  <si>
    <t>Representante Legal Tomador</t>
  </si>
  <si>
    <t>Nome:</t>
  </si>
  <si>
    <t>Nome(1):</t>
  </si>
  <si>
    <t>Reg. Profissional:</t>
  </si>
  <si>
    <t>Assinatura:</t>
  </si>
  <si>
    <t>Somente no caso do Proponente Tomador onde mais de um Dirigente assina o contrato.</t>
  </si>
  <si>
    <t>Nome(2):</t>
  </si>
  <si>
    <t>RG:</t>
  </si>
  <si>
    <t>CPF:</t>
  </si>
  <si>
    <t>Total Geral</t>
  </si>
  <si>
    <t>TOTAL FEHIDRO</t>
  </si>
  <si>
    <t>TOTAL SAAE</t>
  </si>
  <si>
    <t>CONTRAPARTIDA</t>
  </si>
  <si>
    <t xml:space="preserve"> Limpeza  </t>
  </si>
  <si>
    <t xml:space="preserve"> m² </t>
  </si>
  <si>
    <t>unid</t>
  </si>
  <si>
    <t>9.1</t>
  </si>
  <si>
    <t>8.2</t>
  </si>
  <si>
    <t>8.3</t>
  </si>
  <si>
    <t>8.4</t>
  </si>
  <si>
    <t>8.5</t>
  </si>
  <si>
    <t>GOVERNO DO ESTADO DE SÃO PAULO</t>
  </si>
  <si>
    <t>ANEXO VIII DO MPO
PLANILHA DE ORÇAMENTO</t>
  </si>
  <si>
    <t>SECRETARIA DE SANEAMENTO
E RECURSOS HÍDRICOS</t>
  </si>
  <si>
    <t>valores em R$</t>
  </si>
  <si>
    <t>ANEXO VII DO MPO                                                                                     
CRONOGRAMA FÍSICO- FINANCEIRO</t>
  </si>
  <si>
    <t>Recomposição de passeio de acordo com as características iniciais (SINAPI 94993)</t>
  </si>
  <si>
    <t>7.2</t>
  </si>
  <si>
    <t>Sub total 5</t>
  </si>
  <si>
    <t>Sub total 6</t>
  </si>
  <si>
    <t>Fornecimento e Assentamento de Redes</t>
  </si>
  <si>
    <t>7.3</t>
  </si>
  <si>
    <t>SERVIÇO AUTÔNOMO DE ÁGUA E ESGOTO DE SÃO CARLOS</t>
  </si>
  <si>
    <t>COMPOSIÇÕES EXTRAS</t>
  </si>
  <si>
    <t>FONTE</t>
  </si>
  <si>
    <t>código</t>
  </si>
  <si>
    <t>DESCRIÇÃO DOS SERVIÇOS</t>
  </si>
  <si>
    <t>Un.</t>
  </si>
  <si>
    <t>Quant.</t>
  </si>
  <si>
    <t>Unitário</t>
  </si>
  <si>
    <t>BDI</t>
  </si>
  <si>
    <t>SUB- TOTAL UNITÁRIO</t>
  </si>
  <si>
    <t>Total</t>
  </si>
  <si>
    <t>SAAE</t>
  </si>
  <si>
    <t>COMP. 01</t>
  </si>
  <si>
    <t>DESCRIÇÃO DA COMPOSIÇÃO</t>
  </si>
  <si>
    <t>Orig. Preço</t>
  </si>
  <si>
    <t>Coeficiente</t>
  </si>
  <si>
    <t>Preço Unitário</t>
  </si>
  <si>
    <t>Preço Total</t>
  </si>
  <si>
    <t>SINAPI-I</t>
  </si>
  <si>
    <t>M</t>
  </si>
  <si>
    <t>SINAPI</t>
  </si>
  <si>
    <t>H</t>
  </si>
  <si>
    <t>RESUMO:</t>
  </si>
  <si>
    <t>PREÇO</t>
  </si>
  <si>
    <t>PORCENTAGEM</t>
  </si>
  <si>
    <t xml:space="preserve">EQUIPAMENTO : </t>
  </si>
  <si>
    <t xml:space="preserve">MATERIAL : </t>
  </si>
  <si>
    <t xml:space="preserve">MAO DE OBRA : </t>
  </si>
  <si>
    <t xml:space="preserve">TOTAL COMPOSIÇÃO : </t>
  </si>
  <si>
    <t>ORIGEM DE PREÇO: CR</t>
  </si>
  <si>
    <t>Sinalização de tráfego (SABESP 70020004)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</si>
  <si>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</si>
  <si>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</si>
  <si>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</si>
  <si>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</si>
  <si>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</si>
  <si>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</si>
  <si>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</si>
  <si>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</si>
  <si>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</si>
  <si>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</si>
  <si>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</si>
  <si>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</si>
  <si>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</si>
  <si>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</si>
  <si>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</si>
  <si>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</si>
  <si>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</si>
  <si>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</si>
  <si>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JUNTA MECÂNICA FOFO DN=75MM (SABESP HM03230)</t>
  </si>
  <si>
    <t>JUNTA MECÂNICA FOFO DN=50MM (COTAÇÃO SAAE)</t>
  </si>
  <si>
    <t>COLARINHO TERMOFUSÃO PEAD DE=63 MM SDR 11 PE100 LONGO PARA FLANGE DE AÇO (SABESP HM02067)</t>
  </si>
  <si>
    <t>FLANGE SEM RESSALTO AÇO CARBONO DE=63 MM NBR 7675 PN 10 P/COLARINHO PEAD (SABESP HM06359)</t>
  </si>
  <si>
    <t>CAP P/ FOFO D=75MM (SABESP HM02923)</t>
  </si>
  <si>
    <t>TÊ FLANGE FOFO DN=50MM (COTAÇÃO SAAE)</t>
  </si>
  <si>
    <t xml:space="preserve">Mão de Obra para Conexões e interligações de Tubo PEAD 63 mm com rede de água existente e também a desativação dos trechos de rede indicados. </t>
  </si>
  <si>
    <t>COMP. 02</t>
  </si>
  <si>
    <t>AUXILIAR DE ENCANADOR OU BOMBEIRO HIDRÁULICO COM ENCARGOS COMPLEMENTARES</t>
  </si>
  <si>
    <t>ENCANADOR OU BOMBEIRO HIDRÁULICO COM ENCARGOS COMPLEMENTARES</t>
  </si>
  <si>
    <t>88267</t>
  </si>
  <si>
    <t>ARRUELA DE VEDAÇÃO BORRACHA NATURAL NR1087 C/1 LONA E=3MM DE=165MM DI=65MM P/FLANGE PN10 DN50 FACE PLENA (SABESP HM07300)</t>
  </si>
  <si>
    <t>RECOMPOSIÇÃO DE BASE E OU SUB-BASE PARA FECHAMENTO DE VALAS DE BRITA GRADUADA SIMPLES - INCLUSO RETIRADA E COLOCAÇÃO DO MATERIAL. AF_12/2020 (SINAPI 101849)</t>
  </si>
  <si>
    <t>Fornecimento e assentamento de guias (SINAPI 94273)</t>
  </si>
  <si>
    <t>EXECUÇÃO DE SARJETA DE CONCRETO USINADO, MOLDADA  IN LOCO  EM TRECHO RETO, 30 CM BASE X 10 CM ALTURA. AF_06/2016 (SINAPI 94287)</t>
  </si>
  <si>
    <t xml:space="preserve"> Limpeza da Obra (SINAPI 98519)</t>
  </si>
  <si>
    <t>CURVA PVC PONTA E BOLSA 90º D=50MM (SINAPI 1845)</t>
  </si>
  <si>
    <t>Ancoragem em concreto para conexões (SINAPI 38538)</t>
  </si>
  <si>
    <t>ESCAVAÇÃO MECANIZADA DE VALA COM PROF. ATÉ 1,5 M (MÉDIA ENTRE MONTANTE E JUSANTE/UMA COMPOSIÇÃO POR TRECHO), COM RETROESCAVADEIRA (0,26 M3/88 HP), LARG. MENOR QUE 0,8 M, EM SOLO DE 1A CATEGORIA, EM LOCAIS COM ALTO NÍVEL DE INTERFERÊNCIA. AF_02/2021 (SINAPI 90099)</t>
  </si>
  <si>
    <t xml:space="preserve">Fresagem e Remoção de pavimento asfáltico e calçada. Incluso carga. Exclusive transporte (SINAPI 96001) </t>
  </si>
  <si>
    <t>Tela tapume em polietileno (cor laranja) (SINAPI 37524)</t>
  </si>
  <si>
    <t>TUBO PVC PBA DN=50MM (para descarga) (SINAPI 36084)</t>
  </si>
  <si>
    <t>Locação das redes (SABESP 70010003)</t>
  </si>
  <si>
    <t>Eng. Alex Fabiano Ciacci</t>
  </si>
  <si>
    <t>CREA nº 506111965-6</t>
  </si>
  <si>
    <t xml:space="preserve">COTOVELO 90 GRAUS, PEAD PE 100, DE 63 MM, PARA ELETROFUSAO  (SINAPI  37432)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</si>
  <si>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TÊ DE SERVIÇO ELETROFUSÃO PEAD DE=63 X 20 MM SDR 11 PE100 INJETADO NTS 193 REDE DE ÁGUA (SABESP HM 02078)</t>
  </si>
  <si>
    <t xml:space="preserve">TUBO DE POLIETILENO DE ALTA DENSIDADE (PEAD), PE-80, DE = 20 MM X 2,3 MM DE PAREDE, PARA LIGACAO DE AGUA PREDIAL (NBR 15561)  (SINAPI 9813)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</si>
  <si>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ADAPTADOR DE COMPRESSAO EM POLIPROPILENO (PP), PARA TUBO EM PEAD, 20 MM X 3/4", PARA LIGACAO PREDIAL DE AGUA (NTS 179)    (SINAPI 61)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</si>
  <si>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Serviços Preliminares</t>
  </si>
  <si>
    <t>Mão de Obra para Conexões e interligações de Tubo PEAD 63 mm com rede de água existente e também a desativação dos trechos de rede indicados. (COMP. 02)</t>
  </si>
  <si>
    <t>Instalação de Tubo PEAD 63 mm para rede de água por perfuração direcionada de solo - MND (Método Não Destrutivo). Incluso serviço de soldagem por eletrofusão e ou termofusão para tubos e conexões. (COTAÇÃO SAAE)</t>
  </si>
  <si>
    <t>7.22</t>
  </si>
  <si>
    <t>7.23</t>
  </si>
  <si>
    <t>7.24</t>
  </si>
  <si>
    <t>7.25</t>
  </si>
  <si>
    <t>7.26</t>
  </si>
  <si>
    <t>7.27</t>
  </si>
  <si>
    <t>7.28</t>
  </si>
  <si>
    <t>DEMONSTRATIVO DE BDI</t>
  </si>
  <si>
    <t xml:space="preserve">CÁLCULO DO BDI  - Obras e Serviços  </t>
  </si>
  <si>
    <t>VALORES ADOTADOS:</t>
  </si>
  <si>
    <t>Min</t>
  </si>
  <si>
    <t>Médio</t>
  </si>
  <si>
    <t>Máx.</t>
  </si>
  <si>
    <t>AC</t>
  </si>
  <si>
    <t>ADMINISTRAÇÃO CENTRAL</t>
  </si>
  <si>
    <t>%</t>
  </si>
  <si>
    <t>DF</t>
  </si>
  <si>
    <t>DESPESAS FINANCEIRAS</t>
  </si>
  <si>
    <t>S + G</t>
  </si>
  <si>
    <t>SEGUROS E GARANTIAS</t>
  </si>
  <si>
    <t>R</t>
  </si>
  <si>
    <t>RISCO</t>
  </si>
  <si>
    <t>ISS (PMNF)</t>
  </si>
  <si>
    <t>I</t>
  </si>
  <si>
    <t>PIS</t>
  </si>
  <si>
    <t>COFINS</t>
  </si>
  <si>
    <t>Desoneração</t>
  </si>
  <si>
    <t xml:space="preserve">TOTAL "C" = </t>
  </si>
  <si>
    <t>L</t>
  </si>
  <si>
    <t>LUCRO</t>
  </si>
  <si>
    <t>FÓRMULA DE CÁLCULO:</t>
  </si>
  <si>
    <t xml:space="preserve">BDI = </t>
  </si>
  <si>
    <t>(1 + AC + S + R + G) x (1 + DF) x (1 + L)</t>
  </si>
  <si>
    <t xml:space="preserve"> -</t>
  </si>
  <si>
    <t>x</t>
  </si>
  <si>
    <t>( 1 - I)</t>
  </si>
  <si>
    <t>CÁLCULO:</t>
  </si>
  <si>
    <t>BDI =</t>
  </si>
  <si>
    <t xml:space="preserve"> =</t>
  </si>
  <si>
    <t>O VALOR DO BDI ADOTADO É DE :</t>
  </si>
  <si>
    <r>
      <t xml:space="preserve">Os cálculos estão em conformidade ao </t>
    </r>
    <r>
      <rPr>
        <b/>
        <sz val="10"/>
        <color indexed="8"/>
        <rFont val="Calibri"/>
        <family val="2"/>
      </rPr>
      <t>" ACORDÃO Nº 2622/2013 - TCU - PLENÁRIO "</t>
    </r>
  </si>
  <si>
    <t>TRANSPORTE COM CAMINHÃO BASCULANTE DE 10 M³, EM VIA URBANA PAVIMENTADA, DMT =10 KM (UNIDADE: M3XKM). (bota fora) (SINAPI 95875)</t>
  </si>
  <si>
    <t>CONTRAPARTIDA  (30,00%)</t>
  </si>
  <si>
    <t>FINANCIAMENTO   (70,00%)</t>
  </si>
  <si>
    <t>Eng. Alex Fabiano Ciacci CREA nº 5061119656</t>
  </si>
  <si>
    <t>Substituição de Redes de Ferro Fundido e Ferro Galvanizado de Abastecimento de água Por Redes em PEAD pelo Método Não Desturivo (MND) na Rua Dom Pedro II - Município de São Carlos</t>
  </si>
  <si>
    <t>Substituição de Redes de Ferro Fundido e Ferro Galvanizado de Abastecimento de água Por Redes em PEAD pelo Método Não Desturivo (MND) na Rua Dom Pedro II</t>
  </si>
  <si>
    <t>LOCAL: Rua Dom Pedro II, Entre a Rua Cezar Ricome e a Rua Raimundo Correia - São Carlos - SP</t>
  </si>
  <si>
    <t>EXTREMIDADE FLANGE PONTA FOFO DN=50MM L=350MM(COTAÇÃO SAAE)</t>
  </si>
  <si>
    <t>EXTREMIDADE FLANGE PONTA FOFO DN=75MM L=350MM(SABESP HM03110)</t>
  </si>
  <si>
    <t>EXTREMIDADE FLANGE BOLSA FOFO D=50MM (COTAÇÃO SAAE)</t>
  </si>
  <si>
    <t>CAP P/ FOFO D=50MM (COTAÇÃO SAAE)</t>
  </si>
  <si>
    <t>CAP ELETROFUSÃO PEAD DE=63 MM SDR11 PE100 INJETADO NTS 193 (SABESP HM06144)</t>
  </si>
  <si>
    <t>TÊ ELETROFUSÃO PEAD DE=63 MM SDR11 PE100 INJETADO NTS 193 (SABESP HM06644)</t>
  </si>
  <si>
    <t>TÊ DE REDUÇÃO FOFO COM FLANGES D=75X50MM (SABESP HM03415)</t>
  </si>
  <si>
    <t>EXTREMIDADE PONTA - FLANGE PN10/16 FERRO FUNDIDO DN=100 MM L=360 MM * (10,90 KG) (SABESP HM03109)</t>
  </si>
  <si>
    <t>EXTREMIDADE PONTA - FLANGE PN10/16 FERRO FUNDIDO DN=150 MM L=380 MM * (17,70 KG) (SABESP HM03101)</t>
  </si>
  <si>
    <t>VÁLVULA GAVETA C/FLANGES PN10/16 FERRO FUNDIDO DN=50 MM (11,00 KG), ACION. CABEÇOTE, CUNHA DE BORRACHA, MÉTRICA CHATA, PINTURA EPÓXI EM PÓ NBR 14968 ÁGUA/ESGOTO (SABESP HM07081)</t>
  </si>
  <si>
    <t>TÊ COM FLANGES PN10/16 FERRO FUNDIDO DN=100 X 50 MM * (16,00 KG) PINTURA BETUMINOSA, ACESSÓRIOS NÃO INCLUSOS NBR 7675 ÁGUA (SABESP HM03413)</t>
  </si>
  <si>
    <t>TÊ COM FLANGES PN10/16 FERRO FUNDIDO DN=150 X 50 MM * (26,00 KG) PINTURA BETUMINOSA, ACESSÓRIOS NÃO INCLUSOS NBR 7675 ÁGUA (SABESP HM03414)</t>
  </si>
  <si>
    <t>JUNTA MECÂNICA FOFO DN=100MM (SABESP HM03218)</t>
  </si>
  <si>
    <t>JUNTA MECÂNICA FOFO DN=150MM (SABESP HM03219)</t>
  </si>
  <si>
    <t>LUVA ELETROFUSÃO PEAD DE=63 MM SDR11 PE100 INJETADO NTS 193 (SABESP HM02073)</t>
  </si>
  <si>
    <t>7.29</t>
  </si>
  <si>
    <t>7.30</t>
  </si>
  <si>
    <t>7.31</t>
  </si>
  <si>
    <t>7.32</t>
  </si>
  <si>
    <t>7.33</t>
  </si>
  <si>
    <t>ESCAVAÇÃO MANUAL DE VALA COM PROFUNDIDADE MENOR OU IGUAL A 1,30 M. (SINAPI 93358)</t>
  </si>
  <si>
    <t>Substituição de Redes de Ferro Fundido e Ferro Galvanizado de Abastecimento de água pelo método não desturivo - Rua Dom Pedro II</t>
  </si>
  <si>
    <t xml:space="preserve">PARAFUSO ZINCADO, SEXTAVADO, COM ROSCA INTEIRA, DIAMETRO 5/8", COMPRIMENTO 3", COM PORCA E ARRUELA DE PRESSAO MEDIA (1 unidade = 4 conjuntos por flange) (SINAPI 4336)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</si>
  <si>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</si>
  <si>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>EQUIPAMENTO DE GEORADAR (GPR) PARA INVESTIGAÇÃO DE SUBSOLOS E INTERFERÊNCIAS PARA EXECUÇÃO DE REDES ÁGUA/ESGOTO (SABESP EQ04824)</t>
  </si>
  <si>
    <t>DISPOSITIVO DE PROTEÇÃO PARA REGISTRO COM ASSENTAMENTO DE TAMPA T-5 (SABESP 70070342)</t>
  </si>
  <si>
    <t>LOCALIZADOR ELETROMAGNÉTICO (PARA DETECÇÃO DE TUBULAÇÕES METÁLICAS) (SABESP EQ04585)</t>
  </si>
  <si>
    <t>Mão francesa de 700 mm (CPOS 36.20.200)</t>
  </si>
  <si>
    <t>CONJUNTO DE FIXACAO PARA TUBULACAO (SBC 052980)</t>
  </si>
  <si>
    <t>TUBO DE AÇO GALVANIZADO COM COSTURA, CLASSE MÉDIA, CONEXÃO RANHURADA, DN 80 (3"), INSTALADO EM PRUMADAS - FORNECIMENTO E INSTALAÇÃO. (SINAPI 92337)</t>
  </si>
  <si>
    <t xml:space="preserve"> 93358 </t>
  </si>
  <si>
    <t xml:space="preserve"> 93382 </t>
  </si>
  <si>
    <t>SOLDADOR COM ENCARGOS COMPLEMENTARES</t>
  </si>
  <si>
    <t>FRESAGEM DE PAVIMENTO ASFÁLTICO (PROFUNDIDADE ATÉ 5,0 CM) - EXCLUSIVE TRANSPORTE. COMPRIM.= 2,0M , LARGURA=0,65M</t>
  </si>
  <si>
    <t xml:space="preserve">TRANSPORTE COM CAMINHÃO BASCULANTE DE 10 M³, EM VIA URBANA PAVIMENTADA, DMT =10 KM (UNIDADE: M3XKM). (bota fora) </t>
  </si>
  <si>
    <t>m³xKm</t>
  </si>
  <si>
    <t>EXECUÇÃO DE PASSEIO (CALÇADA) OU PISO DE CONCRETO COM CONCRETO MOLDADO IN LOCO, FEITO EM OBRA, ACABAMENTO CONVENCIONAL, ESPESSURA 6 CM, ARMADO.</t>
  </si>
  <si>
    <t>COMP. 03</t>
  </si>
  <si>
    <t>Mudança de Ligações Domiciliares da caixa padrão ou do alinhamento predial (quando for cavalete) até a rede, incluindo a fresagem, bota fora, escavação, reaterro e recomposição da calçada.  Incluso mão de obra e serviços de solda por eletrofusão. Exclusive materiais.</t>
  </si>
  <si>
    <t>Mudança de Ligações Domiciliares da caixa padrão ou do alinhamento predial (quando for cavalete) até a rede, incluindo a fresagem, bota fora, escavação, reaterro e recomposição da calçada.  Incluso mão de obra e serviços de solda por eletrofusão. Exclusive materiais. (COMP. 03).</t>
  </si>
  <si>
    <t>ESCAVAÇÃO MANUAL DE VALA COM PROFUNDIDADE MENOR OU IGUAL A 1,30 M. Comprim = 1,0m, Largura=0,65m , profund. = 1,0m</t>
  </si>
  <si>
    <t>REATERRO MANUAL DE VALAS COM COMPACTAÇÃO MECANIZADA. Comprim = 1,0m, Largura=0,65m, profund. = 1,0m</t>
  </si>
  <si>
    <t>*</t>
  </si>
  <si>
    <t>VALOR UNITÁRIO + (BDI: 
25% para serviços
16% para materiais)</t>
  </si>
  <si>
    <t xml:space="preserve">OBS.: </t>
  </si>
  <si>
    <t>Os itens de valor unitário com asterisco "*" possuem BDI de 16% por corresponder apenas ao fornecimento do material conforme acórdão nº2622/2013 - TCU</t>
  </si>
  <si>
    <t>7.34</t>
  </si>
  <si>
    <t>7.35</t>
  </si>
  <si>
    <t>7.36</t>
  </si>
  <si>
    <t>7.37</t>
  </si>
  <si>
    <t>4.4</t>
  </si>
  <si>
    <t>2.4</t>
  </si>
  <si>
    <t>Cadastro das redes (As Built) (SABESP 70010005)</t>
  </si>
  <si>
    <r>
      <t xml:space="preserve">TUBO PEAD PE100 PN16 SDR11 DE= 63 MM AZUL NTS 194 APLICAÇÃO ÁGUA </t>
    </r>
    <r>
      <rPr>
        <b/>
        <sz val="10"/>
        <color indexed="56"/>
        <rFont val="Verdana"/>
        <family val="2"/>
      </rPr>
      <t>(FORNECIMENTO DE RESPONSABILIDADE DO SAAE)</t>
    </r>
    <r>
      <rPr>
        <sz val="10"/>
        <color indexed="56"/>
        <rFont val="Verdana"/>
        <family val="2"/>
      </rPr>
      <t>(SABESP HM02091)</t>
    </r>
  </si>
  <si>
    <t>Serviços Complementares</t>
  </si>
  <si>
    <t>Produção de vídeo publicitário profissional elaborado por empresa especializada em serviço de design e diagramação de vídeo e publicação, de no mínimo 1 minuto e no máximo 3 minutos de duração.</t>
  </si>
  <si>
    <t>10.0</t>
  </si>
  <si>
    <t>Sub total 10</t>
  </si>
  <si>
    <t>10.1</t>
  </si>
  <si>
    <t>Produção de Press Release profissional elaborado por empresa especializada, de no mínimo 1 e no máximo 2 páginas.</t>
  </si>
  <si>
    <t>10.2</t>
  </si>
  <si>
    <t>Mariel Pozzi Olmo (Presidente)</t>
  </si>
  <si>
    <t>RG: 27.518.442-0</t>
  </si>
  <si>
    <t>CPF: 221.060.978-08</t>
  </si>
  <si>
    <t xml:space="preserve"> RG nº 27.518.442-0 - CPF Nº 221.060.978-08</t>
  </si>
  <si>
    <t>Mobilização, desmobilização de equipamento e  canteiro de obras</t>
  </si>
  <si>
    <t>TAXA DE MOBILIZAÇÃO DE EQUIPAMENTO-ESTACA RAIZ</t>
  </si>
  <si>
    <t xml:space="preserve"> 16.31.018 </t>
  </si>
  <si>
    <t>FDE</t>
  </si>
  <si>
    <t>-</t>
  </si>
  <si>
    <t>Mobilização, desmobilização de equipamento e  canteiro de obras (COMP. 01)</t>
  </si>
  <si>
    <t>PLACA DE IDENTIFICAÇÃO DE OBRAS (SABESP 70000002)</t>
  </si>
  <si>
    <t>LOCACAO DE CONTAINER 2,30 X 6,00 M, ALT. 2,50 M, COM 1 SANITARIO, PARA ESCRITORIO, COMPLETO, SEM DIVISORIAS INTERNAS (NAO INCLUI MOBILIZACAO/DESMOBILIZACAO)</t>
  </si>
  <si>
    <t>MÊS</t>
  </si>
  <si>
    <t>REATERRO MECANIZADO DE VALA COM RETROESCAVADEIRA (CAPACIDADE DA CAÇAMBA DA RETRO: 0,26 M³ / POTÊNCIA: 88 HP), LARGURA DE 0,8 A 1,5 M, PROFUNDIDADE ATÉ 1,5 M, COM SOLO DE 1ª CATEGORIA EM LOCAIS COM ALTO NÍVEL DE INTERFERÊNCIA. INCLUSO COMPACTAÇÃO DE SOLO. (SINAPI 93379)</t>
  </si>
  <si>
    <t>SINAPI  OUTUBRO/2023 - NÃO DESONERADO
FDE - SP  OUTUBRO/2023</t>
  </si>
  <si>
    <t>EXECUÇÃO DE TAPA BURACO COM APLICAÇÃO DE CONCRETO ASFÁLTICO (AQUISIÇÃO EM USINA) E PINTURA DE LIGAÇÃO. AF_12/2020 (SINAPI 102098)</t>
  </si>
  <si>
    <t xml:space="preserve">FONTE DE DADOS: 
SINAPI- OUTUBRO/2023 - NÃO DESONERADO 
 SABESP - SETEMBRO/2023 - NÃO DESONERADO </t>
  </si>
  <si>
    <t>INDICAR DATA BASE
(OUTUBRO/2023)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</si>
</sst>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mm/yy"/>
    <numFmt numFmtId="173" formatCode="_(&quot;Cr$&quot;* #,##0.00_);_(&quot;Cr$&quot;* \(#,##0.00\);_(&quot;Cr$&quot;* \-??_);_(@_)"/>
    <numFmt numFmtId="174" formatCode="0.0"/>
    <numFmt numFmtId="175" formatCode="_(* #,##0.00_);_(* \(#,##0.00\);_(* \-??_);_(@_)"/>
    <numFmt numFmtId="176" formatCode="dd\-mmm\-yy"/>
    <numFmt numFmtId="177" formatCode="#,##0.000_);\(#,##0.000\)"/>
    <numFmt numFmtId="178" formatCode="_-[$R$-416]\ * #,##0.00_-;\-[$R$-416]\ * #,##0.00_-;_-[$R$-416]\ * &quot;-&quot;??_-;_-@_-"/>
    <numFmt numFmtId="179" formatCode="#,##0.00_ ;\-#,##0.00\ "/>
    <numFmt numFmtId="180" formatCode="_(&quot;Cr$&quot;* #,##0.00_);_(&quot;Cr$&quot;* \(#,##0.00\);_(&quot;Cr$&quot;* &quot;-&quot;??_);_(@_)"/>
    <numFmt numFmtId="181" formatCode="_-[$R$-416]\ * #,##0.0000_-;\-[$R$-416]\ * #,##0.0000_-;_-[$R$-416]\ * &quot;-&quot;????_-;_-@_-"/>
    <numFmt numFmtId="182" formatCode="0.0000"/>
    <numFmt numFmtId="183" formatCode="_-[$R$-416]\ * #,##0.000_-;\-[$R$-416]\ * #,##0.000_-;_-[$R$-416]\ * &quot;-&quot;??_-;_-@_-"/>
    <numFmt numFmtId="184" formatCode="_-[$R$-416]\ * #,##0.0000_-;\-[$R$-416]\ * #,##0.0000_-;_-[$R$-416]\ * &quot;-&quot;??_-;_-@_-"/>
    <numFmt numFmtId="185" formatCode="_-[$R$-416]\ * #,##0.00000_-;\-[$R$-416]\ * #,##0.00000_-;_-[$R$-416]\ * &quot;-&quot;??_-;_-@_-"/>
    <numFmt numFmtId="186" formatCode="_-* #,##0.00000_-;\-* #,##0.00000_-;_-* &quot;-&quot;??_-;_-@_-"/>
    <numFmt numFmtId="187" formatCode="_-* #,##0.00000000_-;\-* #,##0.00000000_-;_-* &quot;-&quot;??_-;_-@_-"/>
    <numFmt numFmtId="188" formatCode="&quot;R$&quot;\ #,##0.00"/>
    <numFmt numFmtId="189" formatCode="_-* #,##0.000_-;\-* #,##0.000_-;_-* &quot;-&quot;??_-;_-@_-"/>
    <numFmt numFmtId="190" formatCode="0.0000000%"/>
    <numFmt numFmtId="191" formatCode="[$-416]dddd\,\ d&quot; de &quot;mmmm&quot; de &quot;yyyy"/>
    <numFmt numFmtId="192" formatCode="_-[$R$-416]\ * #,##0.000000_-;\-[$R$-416]\ * #,##0.000000_-;_-[$R$-416]\ * &quot;-&quot;??_-;_-@_-"/>
    <numFmt numFmtId="193" formatCode="&quot;Sim&quot;;&quot;Sim&quot;;&quot;Não&quot;"/>
    <numFmt numFmtId="194" formatCode="&quot;Verdadeiro&quot;;&quot;Verdadeiro&quot;;&quot;Falso&quot;"/>
    <numFmt numFmtId="195" formatCode="&quot;Ativado&quot;;&quot;Ativado&quot;;&quot;Desativado&quot;"/>
    <numFmt numFmtId="196" formatCode="[$€-2]\ #,##0.00_);[Red]\([$€-2]\ #,##0.00\)"/>
    <numFmt numFmtId="197" formatCode="_-* #,##0.00000000_-;\-* #,##0.00000000_-;_-* &quot;-&quot;????????_-;_-@_-"/>
  </numFmts>
  <fonts count="8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56"/>
      <name val="Verdana"/>
      <family val="2"/>
    </font>
    <font>
      <b/>
      <sz val="14"/>
      <color indexed="56"/>
      <name val="Verdana"/>
      <family val="2"/>
    </font>
    <font>
      <b/>
      <sz val="12"/>
      <color indexed="56"/>
      <name val="Verdana"/>
      <family val="2"/>
    </font>
    <font>
      <sz val="11"/>
      <color indexed="56"/>
      <name val="Verdana"/>
      <family val="2"/>
    </font>
    <font>
      <b/>
      <sz val="10"/>
      <color indexed="56"/>
      <name val="Verdana"/>
      <family val="2"/>
    </font>
    <font>
      <b/>
      <sz val="11"/>
      <color indexed="56"/>
      <name val="Verdana"/>
      <family val="2"/>
    </font>
    <font>
      <b/>
      <sz val="9"/>
      <color indexed="56"/>
      <name val="Verdana"/>
      <family val="2"/>
    </font>
    <font>
      <sz val="11"/>
      <color indexed="25"/>
      <name val="Verdana"/>
      <family val="2"/>
    </font>
    <font>
      <b/>
      <i/>
      <sz val="11"/>
      <color indexed="56"/>
      <name val="Verdana"/>
      <family val="2"/>
    </font>
    <font>
      <sz val="10"/>
      <color indexed="10"/>
      <name val="Verdana"/>
      <family val="2"/>
    </font>
    <font>
      <sz val="14"/>
      <color indexed="56"/>
      <name val="Verdana"/>
      <family val="2"/>
    </font>
    <font>
      <sz val="12"/>
      <color indexed="56"/>
      <name val="Verdana"/>
      <family val="2"/>
    </font>
    <font>
      <sz val="13"/>
      <color indexed="56"/>
      <name val="Verdana"/>
      <family val="2"/>
    </font>
    <font>
      <b/>
      <sz val="16"/>
      <color indexed="56"/>
      <name val="Verdana"/>
      <family val="2"/>
    </font>
    <font>
      <sz val="16"/>
      <color indexed="56"/>
      <name val="Verdana"/>
      <family val="2"/>
    </font>
    <font>
      <b/>
      <sz val="16"/>
      <color indexed="10"/>
      <name val="Verdana"/>
      <family val="2"/>
    </font>
    <font>
      <b/>
      <sz val="20"/>
      <color indexed="56"/>
      <name val="Verdana"/>
      <family val="2"/>
    </font>
    <font>
      <sz val="12"/>
      <name val="Verdana"/>
      <family val="2"/>
    </font>
    <font>
      <sz val="11"/>
      <name val="Arial"/>
      <family val="2"/>
    </font>
    <font>
      <b/>
      <sz val="11"/>
      <color indexed="10"/>
      <name val="Verdana"/>
      <family val="2"/>
    </font>
    <font>
      <b/>
      <sz val="8"/>
      <color indexed="56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name val="Courier New"/>
      <family val="3"/>
    </font>
    <font>
      <sz val="12"/>
      <color indexed="8"/>
      <name val="Arial"/>
      <family val="2"/>
    </font>
    <font>
      <sz val="8"/>
      <color indexed="8"/>
      <name val="Courier"/>
      <family val="3"/>
    </font>
    <font>
      <b/>
      <sz val="14"/>
      <color indexed="8"/>
      <name val="Arial"/>
      <family val="2"/>
    </font>
    <font>
      <sz val="28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u val="single"/>
      <sz val="10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1"/>
      <color indexed="9"/>
      <name val="Verdana"/>
      <family val="2"/>
    </font>
    <font>
      <b/>
      <i/>
      <sz val="11"/>
      <color indexed="9"/>
      <name val="Verdana"/>
      <family val="2"/>
    </font>
    <font>
      <sz val="14"/>
      <color indexed="57"/>
      <name val="Arial"/>
      <family val="2"/>
    </font>
    <font>
      <b/>
      <sz val="14"/>
      <color indexed="57"/>
      <name val="Arial"/>
      <family val="2"/>
    </font>
    <font>
      <sz val="11"/>
      <color indexed="57"/>
      <name val="Arial"/>
      <family val="2"/>
    </font>
    <font>
      <sz val="12"/>
      <color indexed="8"/>
      <name val="Times New Roman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Verdana"/>
      <family val="2"/>
    </font>
    <font>
      <b/>
      <i/>
      <sz val="11"/>
      <color theme="0"/>
      <name val="Verdana"/>
      <family val="2"/>
    </font>
    <font>
      <sz val="11"/>
      <color rgb="FF002060"/>
      <name val="Verdana"/>
      <family val="2"/>
    </font>
    <font>
      <b/>
      <sz val="12"/>
      <color rgb="FF002060"/>
      <name val="Verdana"/>
      <family val="2"/>
    </font>
    <font>
      <b/>
      <sz val="11"/>
      <color rgb="FF002060"/>
      <name val="Verdana"/>
      <family val="2"/>
    </font>
    <font>
      <sz val="14"/>
      <color theme="2" tint="-0.4999699890613556"/>
      <name val="Arial"/>
      <family val="2"/>
    </font>
    <font>
      <b/>
      <sz val="14"/>
      <color theme="2" tint="-0.4999699890613556"/>
      <name val="Arial"/>
      <family val="2"/>
    </font>
    <font>
      <sz val="11"/>
      <color theme="2" tint="-0.4999699890613556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 style="medium">
        <color indexed="56"/>
      </bottom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 style="medium">
        <color indexed="56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>
        <color indexed="63"/>
      </right>
      <top style="thin">
        <color indexed="56"/>
      </top>
      <bottom style="thin">
        <color indexed="56"/>
      </bottom>
    </border>
    <border>
      <left style="thin"/>
      <right style="medium"/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>
        <color indexed="56"/>
      </top>
      <bottom style="thin">
        <color indexed="56"/>
      </bottom>
    </border>
    <border>
      <left>
        <color indexed="63"/>
      </left>
      <right style="medium"/>
      <top style="thin">
        <color indexed="56"/>
      </top>
      <bottom style="thin">
        <color indexed="56"/>
      </bottom>
    </border>
    <border>
      <left style="medium"/>
      <right style="medium"/>
      <top style="medium"/>
      <bottom style="medium"/>
    </border>
    <border>
      <left style="medium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thin">
        <color indexed="56"/>
      </right>
      <top style="medium">
        <color indexed="56"/>
      </top>
      <bottom style="thick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 style="thin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medium">
        <color indexed="56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>
        <color indexed="63"/>
      </top>
      <bottom style="thin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/>
    </border>
    <border>
      <left>
        <color indexed="63"/>
      </left>
      <right style="medium">
        <color indexed="56"/>
      </right>
      <top style="thin"/>
      <bottom style="thin"/>
    </border>
    <border>
      <left>
        <color indexed="63"/>
      </left>
      <right style="medium">
        <color indexed="56"/>
      </right>
      <top>
        <color indexed="63"/>
      </top>
      <bottom style="thin"/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 style="thin">
        <color indexed="56"/>
      </bottom>
    </border>
    <border>
      <left style="thick">
        <color indexed="56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medium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 style="thin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/>
      <right style="thin"/>
      <top/>
      <bottom style="thin"/>
    </border>
    <border>
      <left style="medium"/>
      <right style="medium">
        <color indexed="56"/>
      </right>
      <top style="medium">
        <color indexed="56"/>
      </top>
      <bottom style="medium">
        <color indexed="56"/>
      </bottom>
    </border>
    <border>
      <left style="medium">
        <color indexed="56"/>
      </left>
      <right style="medium"/>
      <top style="medium">
        <color indexed="56"/>
      </top>
      <bottom style="medium">
        <color indexed="56"/>
      </bottom>
    </border>
    <border>
      <left style="thin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thin">
        <color indexed="56"/>
      </left>
      <right style="medium"/>
      <top style="thin">
        <color indexed="56"/>
      </top>
      <bottom style="thin">
        <color indexed="56"/>
      </bottom>
    </border>
    <border>
      <left style="medium"/>
      <right style="medium">
        <color indexed="56"/>
      </right>
      <top style="medium"/>
      <bottom style="thin">
        <color indexed="56"/>
      </bottom>
    </border>
    <border>
      <left style="medium">
        <color indexed="56"/>
      </left>
      <right style="medium">
        <color indexed="56"/>
      </right>
      <top style="medium"/>
      <bottom style="thin">
        <color indexed="56"/>
      </bottom>
    </border>
    <border>
      <left style="medium">
        <color indexed="56"/>
      </left>
      <right style="medium"/>
      <top style="medium"/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 style="medium"/>
      <right style="medium">
        <color indexed="56"/>
      </right>
      <top style="thin">
        <color indexed="56"/>
      </top>
      <bottom style="medium"/>
    </border>
    <border>
      <left style="medium">
        <color indexed="56"/>
      </left>
      <right style="medium">
        <color indexed="56"/>
      </right>
      <top style="thin">
        <color indexed="56"/>
      </top>
      <bottom style="medium"/>
    </border>
    <border>
      <left style="medium">
        <color indexed="56"/>
      </left>
      <right style="medium"/>
      <top style="thin">
        <color indexed="56"/>
      </top>
      <bottom style="medium"/>
    </border>
    <border>
      <left style="medium"/>
      <right style="medium">
        <color indexed="56"/>
      </right>
      <top style="thin">
        <color indexed="56"/>
      </top>
      <bottom>
        <color indexed="63"/>
      </bottom>
    </border>
    <border>
      <left style="medium">
        <color indexed="56"/>
      </left>
      <right style="medium"/>
      <top style="thin">
        <color indexed="56"/>
      </top>
      <bottom>
        <color indexed="63"/>
      </bottom>
    </border>
    <border>
      <left style="medium">
        <color indexed="56"/>
      </left>
      <right>
        <color indexed="63"/>
      </right>
      <top style="thin">
        <color indexed="56"/>
      </top>
      <bottom style="medium"/>
    </border>
    <border>
      <left>
        <color indexed="63"/>
      </left>
      <right style="medium">
        <color indexed="56"/>
      </right>
      <top style="thin">
        <color indexed="56"/>
      </top>
      <bottom style="medium"/>
    </border>
    <border>
      <left>
        <color indexed="63"/>
      </left>
      <right style="medium"/>
      <top style="thin">
        <color indexed="56"/>
      </top>
      <bottom style="medium"/>
    </border>
    <border>
      <left style="medium">
        <color indexed="56"/>
      </left>
      <right style="medium">
        <color indexed="56"/>
      </right>
      <top style="thin">
        <color indexed="8"/>
      </top>
      <bottom style="thin">
        <color indexed="8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medium">
        <color indexed="56"/>
      </left>
      <right style="medium">
        <color indexed="56"/>
      </right>
      <top>
        <color indexed="63"/>
      </top>
      <bottom style="thin">
        <color indexed="8"/>
      </bottom>
    </border>
    <border>
      <left style="medium">
        <color indexed="56"/>
      </left>
      <right style="medium">
        <color indexed="56"/>
      </right>
      <top style="medium">
        <color indexed="56"/>
      </top>
      <bottom style="thin">
        <color indexed="8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" fillId="3" borderId="0" applyNumberFormat="0" applyBorder="0" applyAlignment="0" applyProtection="0"/>
    <xf numFmtId="173" fontId="0" fillId="0" borderId="0" applyFill="0" applyBorder="0" applyAlignment="0" applyProtection="0"/>
    <xf numFmtId="42" fontId="0" fillId="0" borderId="0" applyFill="0" applyBorder="0" applyAlignment="0" applyProtection="0"/>
    <xf numFmtId="0" fontId="9" fillId="22" borderId="0" applyNumberFormat="0" applyBorder="0" applyAlignment="0" applyProtection="0"/>
    <xf numFmtId="0" fontId="37" fillId="0" borderId="0">
      <alignment/>
      <protection/>
    </xf>
    <xf numFmtId="0" fontId="74" fillId="0" borderId="0">
      <alignment/>
      <protection/>
    </xf>
    <xf numFmtId="0" fontId="10" fillId="0" borderId="0">
      <alignment/>
      <protection/>
    </xf>
    <xf numFmtId="0" fontId="75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1" fillId="16" borderId="5" applyNumberFormat="0" applyAlignment="0" applyProtection="0"/>
    <xf numFmtId="41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9" applyNumberFormat="0" applyFill="0" applyAlignment="0" applyProtection="0"/>
    <xf numFmtId="43" fontId="0" fillId="0" borderId="0" applyFill="0" applyBorder="0" applyAlignment="0" applyProtection="0"/>
  </cellStyleXfs>
  <cellXfs count="436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4" fontId="25" fillId="0" borderId="10" xfId="0" applyNumberFormat="1" applyFont="1" applyFill="1" applyBorder="1" applyAlignment="1">
      <alignment vertical="center" wrapText="1"/>
    </xf>
    <xf numFmtId="4" fontId="22" fillId="0" borderId="11" xfId="0" applyNumberFormat="1" applyFont="1" applyFill="1" applyBorder="1" applyAlignment="1">
      <alignment/>
    </xf>
    <xf numFmtId="4" fontId="22" fillId="0" borderId="12" xfId="0" applyNumberFormat="1" applyFont="1" applyFill="1" applyBorder="1" applyAlignment="1">
      <alignment/>
    </xf>
    <xf numFmtId="174" fontId="22" fillId="0" borderId="12" xfId="0" applyNumberFormat="1" applyFont="1" applyFill="1" applyBorder="1" applyAlignment="1">
      <alignment horizontal="center" vertical="center"/>
    </xf>
    <xf numFmtId="174" fontId="22" fillId="0" borderId="12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/>
    </xf>
    <xf numFmtId="0" fontId="24" fillId="0" borderId="0" xfId="0" applyFont="1" applyBorder="1" applyAlignment="1">
      <alignment horizontal="center"/>
    </xf>
    <xf numFmtId="2" fontId="27" fillId="0" borderId="0" xfId="0" applyNumberFormat="1" applyFont="1" applyBorder="1" applyAlignment="1">
      <alignment horizontal="center"/>
    </xf>
    <xf numFmtId="2" fontId="27" fillId="0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2" fontId="22" fillId="0" borderId="0" xfId="0" applyNumberFormat="1" applyFont="1" applyBorder="1" applyAlignment="1">
      <alignment/>
    </xf>
    <xf numFmtId="0" fontId="19" fillId="0" borderId="15" xfId="52" applyFont="1" applyBorder="1">
      <alignment/>
      <protection/>
    </xf>
    <xf numFmtId="0" fontId="19" fillId="0" borderId="0" xfId="52" applyFont="1" applyBorder="1">
      <alignment/>
      <protection/>
    </xf>
    <xf numFmtId="0" fontId="19" fillId="0" borderId="16" xfId="52" applyFont="1" applyBorder="1">
      <alignment/>
      <protection/>
    </xf>
    <xf numFmtId="0" fontId="31" fillId="0" borderId="16" xfId="52" applyFont="1" applyFill="1" applyBorder="1" applyAlignment="1">
      <alignment shrinkToFit="1"/>
      <protection/>
    </xf>
    <xf numFmtId="0" fontId="31" fillId="0" borderId="0" xfId="52" applyFont="1" applyFill="1" applyBorder="1" applyAlignment="1">
      <alignment shrinkToFit="1"/>
      <protection/>
    </xf>
    <xf numFmtId="0" fontId="32" fillId="0" borderId="17" xfId="52" applyFont="1" applyFill="1" applyBorder="1" applyAlignment="1" applyProtection="1">
      <alignment horizontal="center" shrinkToFit="1"/>
      <protection locked="0"/>
    </xf>
    <xf numFmtId="0" fontId="30" fillId="0" borderId="0" xfId="52" applyFont="1" applyBorder="1">
      <alignment/>
      <protection/>
    </xf>
    <xf numFmtId="173" fontId="32" fillId="0" borderId="18" xfId="52" applyNumberFormat="1" applyFont="1" applyFill="1" applyBorder="1" applyAlignment="1" applyProtection="1">
      <alignment horizontal="center" vertical="center" shrinkToFit="1"/>
      <protection locked="0"/>
    </xf>
    <xf numFmtId="176" fontId="32" fillId="0" borderId="18" xfId="52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52" applyFont="1" applyFill="1" applyBorder="1" applyAlignment="1" applyProtection="1">
      <alignment horizontal="left" vertical="center" wrapText="1"/>
      <protection locked="0"/>
    </xf>
    <xf numFmtId="0" fontId="21" fillId="0" borderId="19" xfId="52" applyFont="1" applyFill="1" applyBorder="1" applyAlignment="1" applyProtection="1">
      <alignment horizontal="left" vertical="center" wrapText="1"/>
      <protection locked="0"/>
    </xf>
    <xf numFmtId="39" fontId="32" fillId="0" borderId="0" xfId="52" applyNumberFormat="1" applyFont="1" applyFill="1" applyBorder="1" applyAlignment="1" applyProtection="1">
      <alignment horizontal="right" shrinkToFit="1"/>
      <protection locked="0"/>
    </xf>
    <xf numFmtId="39" fontId="32" fillId="0" borderId="0" xfId="52" applyNumberFormat="1" applyFont="1" applyFill="1" applyBorder="1" applyAlignment="1" applyProtection="1">
      <alignment shrinkToFit="1"/>
      <protection locked="0"/>
    </xf>
    <xf numFmtId="0" fontId="20" fillId="0" borderId="20" xfId="52" applyFont="1" applyFill="1" applyBorder="1" applyAlignment="1" applyProtection="1">
      <alignment shrinkToFit="1"/>
      <protection locked="0"/>
    </xf>
    <xf numFmtId="0" fontId="29" fillId="0" borderId="0" xfId="52" applyFont="1" applyBorder="1">
      <alignment/>
      <protection/>
    </xf>
    <xf numFmtId="39" fontId="32" fillId="0" borderId="12" xfId="52" applyNumberFormat="1" applyFont="1" applyFill="1" applyBorder="1" applyAlignment="1" applyProtection="1">
      <alignment shrinkToFit="1"/>
      <protection locked="0"/>
    </xf>
    <xf numFmtId="39" fontId="30" fillId="24" borderId="12" xfId="52" applyNumberFormat="1" applyFont="1" applyFill="1" applyBorder="1" applyAlignment="1" applyProtection="1">
      <alignment/>
      <protection locked="0"/>
    </xf>
    <xf numFmtId="39" fontId="32" fillId="0" borderId="12" xfId="52" applyNumberFormat="1" applyFont="1" applyFill="1" applyBorder="1" applyAlignment="1" applyProtection="1">
      <alignment/>
      <protection locked="0"/>
    </xf>
    <xf numFmtId="39" fontId="30" fillId="25" borderId="12" xfId="52" applyNumberFormat="1" applyFont="1" applyFill="1" applyBorder="1" applyAlignment="1" applyProtection="1">
      <alignment/>
      <protection locked="0"/>
    </xf>
    <xf numFmtId="1" fontId="32" fillId="0" borderId="17" xfId="52" applyNumberFormat="1" applyFont="1" applyFill="1" applyBorder="1" applyAlignment="1" applyProtection="1">
      <alignment horizontal="center" shrinkToFit="1"/>
      <protection locked="0"/>
    </xf>
    <xf numFmtId="39" fontId="21" fillId="26" borderId="12" xfId="52" applyNumberFormat="1" applyFont="1" applyFill="1" applyBorder="1" applyAlignment="1" applyProtection="1">
      <alignment/>
      <protection locked="0"/>
    </xf>
    <xf numFmtId="39" fontId="30" fillId="26" borderId="12" xfId="52" applyNumberFormat="1" applyFont="1" applyFill="1" applyBorder="1" applyAlignment="1" applyProtection="1">
      <alignment/>
      <protection locked="0"/>
    </xf>
    <xf numFmtId="0" fontId="31" fillId="0" borderId="0" xfId="52" applyFont="1" applyFill="1" applyBorder="1" applyAlignment="1">
      <alignment horizontal="center" shrinkToFit="1"/>
      <protection/>
    </xf>
    <xf numFmtId="39" fontId="21" fillId="0" borderId="21" xfId="52" applyNumberFormat="1" applyFont="1" applyFill="1" applyBorder="1" applyAlignment="1" applyProtection="1">
      <alignment horizontal="center"/>
      <protection locked="0"/>
    </xf>
    <xf numFmtId="39" fontId="21" fillId="0" borderId="22" xfId="52" applyNumberFormat="1" applyFont="1" applyFill="1" applyBorder="1" applyAlignment="1" applyProtection="1">
      <alignment horizontal="center"/>
      <protection locked="0"/>
    </xf>
    <xf numFmtId="39" fontId="32" fillId="0" borderId="10" xfId="52" applyNumberFormat="1" applyFont="1" applyFill="1" applyBorder="1" applyAlignment="1" applyProtection="1">
      <alignment horizontal="center" shrinkToFit="1"/>
      <protection locked="0"/>
    </xf>
    <xf numFmtId="39" fontId="32" fillId="0" borderId="23" xfId="52" applyNumberFormat="1" applyFont="1" applyFill="1" applyBorder="1" applyAlignment="1" applyProtection="1">
      <alignment horizontal="center" shrinkToFit="1"/>
      <protection locked="0"/>
    </xf>
    <xf numFmtId="39" fontId="32" fillId="0" borderId="21" xfId="52" applyNumberFormat="1" applyFont="1" applyFill="1" applyBorder="1" applyAlignment="1" applyProtection="1">
      <alignment horizontal="center" shrinkToFit="1"/>
      <protection locked="0"/>
    </xf>
    <xf numFmtId="39" fontId="32" fillId="0" borderId="24" xfId="52" applyNumberFormat="1" applyFont="1" applyFill="1" applyBorder="1" applyAlignment="1" applyProtection="1">
      <alignment horizontal="center" shrinkToFit="1"/>
      <protection locked="0"/>
    </xf>
    <xf numFmtId="0" fontId="19" fillId="0" borderId="0" xfId="52" applyFont="1" applyBorder="1" applyAlignment="1">
      <alignment horizontal="center"/>
      <protection/>
    </xf>
    <xf numFmtId="178" fontId="30" fillId="24" borderId="12" xfId="52" applyNumberFormat="1" applyFont="1" applyFill="1" applyBorder="1" applyAlignment="1" applyProtection="1">
      <alignment/>
      <protection locked="0"/>
    </xf>
    <xf numFmtId="178" fontId="21" fillId="24" borderId="12" xfId="52" applyNumberFormat="1" applyFont="1" applyFill="1" applyBorder="1" applyAlignment="1" applyProtection="1">
      <alignment/>
      <protection locked="0"/>
    </xf>
    <xf numFmtId="178" fontId="27" fillId="0" borderId="10" xfId="0" applyNumberFormat="1" applyFont="1" applyFill="1" applyBorder="1" applyAlignment="1">
      <alignment/>
    </xf>
    <xf numFmtId="175" fontId="24" fillId="0" borderId="25" xfId="0" applyNumberFormat="1" applyFont="1" applyFill="1" applyBorder="1" applyAlignment="1">
      <alignment/>
    </xf>
    <xf numFmtId="175" fontId="24" fillId="0" borderId="26" xfId="0" applyNumberFormat="1" applyFont="1" applyFill="1" applyBorder="1" applyAlignment="1">
      <alignment/>
    </xf>
    <xf numFmtId="4" fontId="77" fillId="27" borderId="18" xfId="0" applyNumberFormat="1" applyFont="1" applyFill="1" applyBorder="1" applyAlignment="1" applyProtection="1">
      <alignment horizontal="center"/>
      <protection hidden="1" locked="0"/>
    </xf>
    <xf numFmtId="178" fontId="21" fillId="0" borderId="0" xfId="0" applyNumberFormat="1" applyFont="1" applyFill="1" applyBorder="1" applyAlignment="1" applyProtection="1">
      <alignment horizontal="center" vertical="center"/>
      <protection hidden="1" locked="0"/>
    </xf>
    <xf numFmtId="178" fontId="27" fillId="0" borderId="0" xfId="0" applyNumberFormat="1" applyFont="1" applyFill="1" applyBorder="1" applyAlignment="1">
      <alignment/>
    </xf>
    <xf numFmtId="4" fontId="27" fillId="0" borderId="0" xfId="0" applyNumberFormat="1" applyFont="1" applyFill="1" applyBorder="1" applyAlignment="1">
      <alignment/>
    </xf>
    <xf numFmtId="2" fontId="78" fillId="24" borderId="0" xfId="0" applyNumberFormat="1" applyFont="1" applyFill="1" applyBorder="1" applyAlignment="1">
      <alignment horizontal="center" vertical="center"/>
    </xf>
    <xf numFmtId="0" fontId="32" fillId="0" borderId="15" xfId="52" applyFont="1" applyFill="1" applyBorder="1" applyAlignment="1" applyProtection="1">
      <alignment shrinkToFit="1"/>
      <protection locked="0"/>
    </xf>
    <xf numFmtId="0" fontId="32" fillId="0" borderId="0" xfId="52" applyFont="1" applyFill="1" applyBorder="1" applyAlignment="1" applyProtection="1">
      <alignment shrinkToFit="1"/>
      <protection locked="0"/>
    </xf>
    <xf numFmtId="0" fontId="33" fillId="0" borderId="0" xfId="52" applyFont="1" applyFill="1" applyBorder="1" applyAlignment="1" applyProtection="1">
      <alignment shrinkToFit="1"/>
      <protection locked="0"/>
    </xf>
    <xf numFmtId="0" fontId="79" fillId="0" borderId="12" xfId="0" applyNumberFormat="1" applyFont="1" applyFill="1" applyBorder="1" applyAlignment="1">
      <alignment horizontal="center" vertical="center"/>
    </xf>
    <xf numFmtId="178" fontId="79" fillId="0" borderId="11" xfId="47" applyNumberFormat="1" applyFont="1" applyFill="1" applyBorder="1" applyAlignment="1" applyProtection="1">
      <alignment vertical="center"/>
      <protection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178" fontId="22" fillId="0" borderId="11" xfId="0" applyNumberFormat="1" applyFont="1" applyFill="1" applyBorder="1" applyAlignment="1">
      <alignment vertical="center"/>
    </xf>
    <xf numFmtId="178" fontId="21" fillId="0" borderId="17" xfId="0" applyNumberFormat="1" applyFont="1" applyFill="1" applyBorder="1" applyAlignment="1" applyProtection="1">
      <alignment horizontal="center" vertical="center"/>
      <protection hidden="1" locked="0"/>
    </xf>
    <xf numFmtId="178" fontId="21" fillId="0" borderId="18" xfId="0" applyNumberFormat="1" applyFont="1" applyFill="1" applyBorder="1" applyAlignment="1" applyProtection="1">
      <alignment horizontal="center" vertical="center"/>
      <protection hidden="1" locked="0"/>
    </xf>
    <xf numFmtId="39" fontId="80" fillId="0" borderId="21" xfId="52" applyNumberFormat="1" applyFont="1" applyFill="1" applyBorder="1" applyAlignment="1" applyProtection="1">
      <alignment horizontal="center"/>
      <protection locked="0"/>
    </xf>
    <xf numFmtId="0" fontId="36" fillId="0" borderId="0" xfId="52" applyFont="1" applyBorder="1" applyAlignment="1">
      <alignment horizontal="right"/>
      <protection/>
    </xf>
    <xf numFmtId="171" fontId="19" fillId="0" borderId="11" xfId="0" applyNumberFormat="1" applyFont="1" applyFill="1" applyBorder="1" applyAlignment="1">
      <alignment horizontal="center" vertical="center" wrapText="1"/>
    </xf>
    <xf numFmtId="0" fontId="22" fillId="0" borderId="11" xfId="0" applyNumberFormat="1" applyFont="1" applyFill="1" applyBorder="1" applyAlignment="1">
      <alignment horizontal="center" vertical="center"/>
    </xf>
    <xf numFmtId="174" fontId="22" fillId="0" borderId="12" xfId="0" applyNumberFormat="1" applyFont="1" applyFill="1" applyBorder="1" applyAlignment="1">
      <alignment vertical="center" wrapText="1"/>
    </xf>
    <xf numFmtId="174" fontId="24" fillId="0" borderId="11" xfId="0" applyNumberFormat="1" applyFont="1" applyFill="1" applyBorder="1" applyAlignment="1">
      <alignment horizontal="center" vertical="center"/>
    </xf>
    <xf numFmtId="174" fontId="22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vertical="center"/>
    </xf>
    <xf numFmtId="4" fontId="22" fillId="0" borderId="11" xfId="47" applyNumberFormat="1" applyFont="1" applyFill="1" applyBorder="1" applyAlignment="1" applyProtection="1">
      <alignment vertical="center"/>
      <protection/>
    </xf>
    <xf numFmtId="174" fontId="22" fillId="0" borderId="11" xfId="0" applyNumberFormat="1" applyFont="1" applyFill="1" applyBorder="1" applyAlignment="1">
      <alignment horizontal="center" vertical="center"/>
    </xf>
    <xf numFmtId="1" fontId="79" fillId="0" borderId="11" xfId="0" applyNumberFormat="1" applyFont="1" applyFill="1" applyBorder="1" applyAlignment="1">
      <alignment horizontal="center" vertical="center"/>
    </xf>
    <xf numFmtId="174" fontId="24" fillId="0" borderId="12" xfId="0" applyNumberFormat="1" applyFont="1" applyFill="1" applyBorder="1" applyAlignment="1">
      <alignment horizontal="center" vertical="center"/>
    </xf>
    <xf numFmtId="178" fontId="24" fillId="0" borderId="11" xfId="0" applyNumberFormat="1" applyFont="1" applyFill="1" applyBorder="1" applyAlignment="1">
      <alignment vertical="center"/>
    </xf>
    <xf numFmtId="174" fontId="24" fillId="0" borderId="12" xfId="0" applyNumberFormat="1" applyFont="1" applyFill="1" applyBorder="1" applyAlignment="1">
      <alignment vertical="center" wrapText="1"/>
    </xf>
    <xf numFmtId="4" fontId="81" fillId="0" borderId="11" xfId="47" applyNumberFormat="1" applyFont="1" applyFill="1" applyBorder="1" applyAlignment="1" applyProtection="1">
      <alignment vertical="center"/>
      <protection/>
    </xf>
    <xf numFmtId="4" fontId="79" fillId="0" borderId="11" xfId="47" applyNumberFormat="1" applyFont="1" applyFill="1" applyBorder="1" applyAlignment="1" applyProtection="1">
      <alignment vertical="center"/>
      <protection/>
    </xf>
    <xf numFmtId="174" fontId="22" fillId="0" borderId="27" xfId="0" applyNumberFormat="1" applyFont="1" applyFill="1" applyBorder="1" applyAlignment="1">
      <alignment vertical="center" wrapText="1"/>
    </xf>
    <xf numFmtId="174" fontId="22" fillId="0" borderId="27" xfId="0" applyNumberFormat="1" applyFont="1" applyFill="1" applyBorder="1" applyAlignment="1">
      <alignment horizontal="center" vertical="center" wrapText="1"/>
    </xf>
    <xf numFmtId="0" fontId="79" fillId="0" borderId="27" xfId="0" applyNumberFormat="1" applyFont="1" applyFill="1" applyBorder="1" applyAlignment="1">
      <alignment horizontal="center" vertical="center"/>
    </xf>
    <xf numFmtId="174" fontId="79" fillId="0" borderId="12" xfId="0" applyNumberFormat="1" applyFont="1" applyFill="1" applyBorder="1" applyAlignment="1">
      <alignment vertical="center"/>
    </xf>
    <xf numFmtId="174" fontId="24" fillId="0" borderId="27" xfId="0" applyNumberFormat="1" applyFont="1" applyFill="1" applyBorder="1" applyAlignment="1">
      <alignment horizontal="center" vertical="center"/>
    </xf>
    <xf numFmtId="174" fontId="24" fillId="0" borderId="27" xfId="0" applyNumberFormat="1" applyFont="1" applyFill="1" applyBorder="1" applyAlignment="1">
      <alignment vertical="center" wrapText="1"/>
    </xf>
    <xf numFmtId="174" fontId="79" fillId="0" borderId="27" xfId="0" applyNumberFormat="1" applyFont="1" applyFill="1" applyBorder="1" applyAlignment="1">
      <alignment vertical="center"/>
    </xf>
    <xf numFmtId="178" fontId="80" fillId="0" borderId="11" xfId="47" applyNumberFormat="1" applyFont="1" applyFill="1" applyBorder="1" applyAlignment="1" applyProtection="1">
      <alignment vertical="center"/>
      <protection/>
    </xf>
    <xf numFmtId="178" fontId="24" fillId="0" borderId="12" xfId="0" applyNumberFormat="1" applyFont="1" applyFill="1" applyBorder="1" applyAlignment="1">
      <alignment vertical="center"/>
    </xf>
    <xf numFmtId="174" fontId="79" fillId="0" borderId="27" xfId="0" applyNumberFormat="1" applyFont="1" applyFill="1" applyBorder="1" applyAlignment="1">
      <alignment horizontal="center" vertical="center"/>
    </xf>
    <xf numFmtId="0" fontId="24" fillId="0" borderId="27" xfId="0" applyNumberFormat="1" applyFont="1" applyFill="1" applyBorder="1" applyAlignment="1">
      <alignment horizontal="center" vertical="center"/>
    </xf>
    <xf numFmtId="175" fontId="26" fillId="0" borderId="27" xfId="0" applyNumberFormat="1" applyFont="1" applyFill="1" applyBorder="1" applyAlignment="1">
      <alignment vertical="center" wrapText="1"/>
    </xf>
    <xf numFmtId="175" fontId="22" fillId="0" borderId="27" xfId="0" applyNumberFormat="1" applyFont="1" applyFill="1" applyBorder="1" applyAlignment="1">
      <alignment horizontal="center" vertical="center" wrapText="1"/>
    </xf>
    <xf numFmtId="0" fontId="22" fillId="0" borderId="27" xfId="0" applyNumberFormat="1" applyFont="1" applyFill="1" applyBorder="1" applyAlignment="1">
      <alignment vertical="center"/>
    </xf>
    <xf numFmtId="4" fontId="22" fillId="0" borderId="12" xfId="0" applyNumberFormat="1" applyFont="1" applyFill="1" applyBorder="1" applyAlignment="1">
      <alignment vertical="center"/>
    </xf>
    <xf numFmtId="174" fontId="19" fillId="0" borderId="12" xfId="0" applyNumberFormat="1" applyFont="1" applyFill="1" applyBorder="1" applyAlignment="1">
      <alignment vertical="center" wrapText="1"/>
    </xf>
    <xf numFmtId="174" fontId="19" fillId="0" borderId="12" xfId="0" applyNumberFormat="1" applyFont="1" applyFill="1" applyBorder="1" applyAlignment="1">
      <alignment horizontal="justify" vertical="center" wrapText="1"/>
    </xf>
    <xf numFmtId="174" fontId="19" fillId="0" borderId="27" xfId="0" applyNumberFormat="1" applyFont="1" applyFill="1" applyBorder="1" applyAlignment="1">
      <alignment vertical="center" wrapText="1"/>
    </xf>
    <xf numFmtId="174" fontId="19" fillId="0" borderId="27" xfId="0" applyNumberFormat="1" applyFont="1" applyFill="1" applyBorder="1" applyAlignment="1">
      <alignment horizontal="center" vertical="center"/>
    </xf>
    <xf numFmtId="174" fontId="19" fillId="0" borderId="12" xfId="0" applyNumberFormat="1" applyFont="1" applyFill="1" applyBorder="1" applyAlignment="1">
      <alignment horizontal="center" vertical="center"/>
    </xf>
    <xf numFmtId="39" fontId="21" fillId="25" borderId="12" xfId="52" applyNumberFormat="1" applyFont="1" applyFill="1" applyBorder="1" applyAlignment="1" applyProtection="1">
      <alignment/>
      <protection locked="0"/>
    </xf>
    <xf numFmtId="39" fontId="21" fillId="24" borderId="12" xfId="52" applyNumberFormat="1" applyFont="1" applyFill="1" applyBorder="1" applyAlignment="1" applyProtection="1">
      <alignment/>
      <protection locked="0"/>
    </xf>
    <xf numFmtId="39" fontId="30" fillId="28" borderId="12" xfId="52" applyNumberFormat="1" applyFont="1" applyFill="1" applyBorder="1" applyAlignment="1" applyProtection="1">
      <alignment/>
      <protection locked="0"/>
    </xf>
    <xf numFmtId="39" fontId="21" fillId="28" borderId="12" xfId="52" applyNumberFormat="1" applyFont="1" applyFill="1" applyBorder="1" applyAlignment="1" applyProtection="1">
      <alignment/>
      <protection locked="0"/>
    </xf>
    <xf numFmtId="39" fontId="20" fillId="0" borderId="28" xfId="52" applyNumberFormat="1" applyFont="1" applyFill="1" applyBorder="1" applyAlignment="1" applyProtection="1">
      <alignment shrinkToFit="1"/>
      <protection locked="0"/>
    </xf>
    <xf numFmtId="39" fontId="20" fillId="0" borderId="29" xfId="52" applyNumberFormat="1" applyFont="1" applyFill="1" applyBorder="1" applyAlignment="1" applyProtection="1">
      <alignment horizontal="left" shrinkToFit="1"/>
      <protection locked="0"/>
    </xf>
    <xf numFmtId="39" fontId="20" fillId="0" borderId="30" xfId="52" applyNumberFormat="1" applyFont="1" applyFill="1" applyBorder="1" applyAlignment="1" applyProtection="1">
      <alignment shrinkToFit="1"/>
      <protection locked="0"/>
    </xf>
    <xf numFmtId="39" fontId="20" fillId="0" borderId="31" xfId="52" applyNumberFormat="1" applyFont="1" applyFill="1" applyBorder="1" applyAlignment="1" applyProtection="1">
      <alignment shrinkToFit="1"/>
      <protection locked="0"/>
    </xf>
    <xf numFmtId="39" fontId="20" fillId="0" borderId="32" xfId="52" applyNumberFormat="1" applyFont="1" applyFill="1" applyBorder="1" applyAlignment="1" applyProtection="1">
      <alignment horizontal="left" shrinkToFit="1"/>
      <protection locked="0"/>
    </xf>
    <xf numFmtId="39" fontId="20" fillId="0" borderId="33" xfId="52" applyNumberFormat="1" applyFont="1" applyFill="1" applyBorder="1" applyAlignment="1" applyProtection="1">
      <alignment shrinkToFit="1"/>
      <protection locked="0"/>
    </xf>
    <xf numFmtId="39" fontId="34" fillId="0" borderId="34" xfId="52" applyNumberFormat="1" applyFont="1" applyFill="1" applyBorder="1" applyAlignment="1" applyProtection="1">
      <alignment horizontal="right" shrinkToFit="1"/>
      <protection locked="0"/>
    </xf>
    <xf numFmtId="178" fontId="22" fillId="0" borderId="11" xfId="0" applyNumberFormat="1" applyFont="1" applyFill="1" applyBorder="1" applyAlignment="1">
      <alignment horizontal="left" vertical="center"/>
    </xf>
    <xf numFmtId="171" fontId="22" fillId="0" borderId="11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4" fontId="37" fillId="0" borderId="0" xfId="0" applyNumberFormat="1" applyFont="1" applyAlignment="1">
      <alignment/>
    </xf>
    <xf numFmtId="4" fontId="79" fillId="0" borderId="12" xfId="0" applyNumberFormat="1" applyFont="1" applyFill="1" applyBorder="1" applyAlignment="1">
      <alignment horizontal="center" vertical="center"/>
    </xf>
    <xf numFmtId="174" fontId="24" fillId="0" borderId="11" xfId="0" applyNumberFormat="1" applyFont="1" applyFill="1" applyBorder="1" applyAlignment="1">
      <alignment vertical="center" wrapText="1"/>
    </xf>
    <xf numFmtId="0" fontId="25" fillId="0" borderId="35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right" vertical="center" wrapText="1"/>
    </xf>
    <xf numFmtId="0" fontId="19" fillId="0" borderId="37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38" xfId="0" applyFont="1" applyBorder="1" applyAlignment="1">
      <alignment/>
    </xf>
    <xf numFmtId="0" fontId="22" fillId="0" borderId="39" xfId="0" applyFont="1" applyBorder="1" applyAlignment="1">
      <alignment horizontal="center" vertical="center"/>
    </xf>
    <xf numFmtId="17" fontId="22" fillId="0" borderId="26" xfId="0" applyNumberFormat="1" applyFont="1" applyBorder="1" applyAlignment="1">
      <alignment horizontal="center" vertical="center"/>
    </xf>
    <xf numFmtId="17" fontId="22" fillId="0" borderId="3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/>
    </xf>
    <xf numFmtId="0" fontId="23" fillId="0" borderId="40" xfId="52" applyFont="1" applyFill="1" applyBorder="1" applyAlignment="1">
      <alignment horizontal="center" vertical="center" wrapText="1" shrinkToFit="1"/>
      <protection/>
    </xf>
    <xf numFmtId="0" fontId="19" fillId="0" borderId="19" xfId="52" applyFont="1" applyFill="1" applyBorder="1" applyAlignment="1">
      <alignment shrinkToFit="1"/>
      <protection/>
    </xf>
    <xf numFmtId="0" fontId="19" fillId="0" borderId="22" xfId="52" applyFont="1" applyFill="1" applyBorder="1" applyAlignment="1">
      <alignment horizontal="center" shrinkToFit="1"/>
      <protection/>
    </xf>
    <xf numFmtId="0" fontId="19" fillId="0" borderId="15" xfId="52" applyFont="1" applyFill="1" applyBorder="1" applyAlignment="1">
      <alignment shrinkToFit="1"/>
      <protection/>
    </xf>
    <xf numFmtId="0" fontId="19" fillId="0" borderId="24" xfId="52" applyFont="1" applyFill="1" applyBorder="1" applyAlignment="1">
      <alignment horizontal="center" shrinkToFit="1"/>
      <protection/>
    </xf>
    <xf numFmtId="0" fontId="19" fillId="0" borderId="41" xfId="52" applyFont="1" applyFill="1" applyBorder="1" applyAlignment="1">
      <alignment shrinkToFit="1"/>
      <protection/>
    </xf>
    <xf numFmtId="0" fontId="19" fillId="0" borderId="23" xfId="52" applyFont="1" applyFill="1" applyBorder="1" applyAlignment="1">
      <alignment horizontal="center" shrinkToFit="1"/>
      <protection/>
    </xf>
    <xf numFmtId="0" fontId="42" fillId="0" borderId="0" xfId="52" applyFont="1" applyBorder="1">
      <alignment/>
      <protection/>
    </xf>
    <xf numFmtId="0" fontId="43" fillId="0" borderId="0" xfId="0" applyFont="1" applyAlignment="1">
      <alignment wrapText="1"/>
    </xf>
    <xf numFmtId="0" fontId="32" fillId="0" borderId="17" xfId="52" applyFont="1" applyFill="1" applyBorder="1" applyAlignment="1" applyProtection="1">
      <alignment horizontal="center" vertical="center" wrapText="1" shrinkToFit="1"/>
      <protection locked="0"/>
    </xf>
    <xf numFmtId="185" fontId="0" fillId="0" borderId="0" xfId="0" applyNumberFormat="1" applyAlignment="1">
      <alignment horizontal="left"/>
    </xf>
    <xf numFmtId="39" fontId="30" fillId="0" borderId="0" xfId="52" applyNumberFormat="1" applyFont="1" applyBorder="1">
      <alignment/>
      <protection/>
    </xf>
    <xf numFmtId="0" fontId="44" fillId="0" borderId="42" xfId="0" applyNumberFormat="1" applyFont="1" applyFill="1" applyBorder="1" applyAlignment="1">
      <alignment vertical="center"/>
    </xf>
    <xf numFmtId="0" fontId="44" fillId="0" borderId="0" xfId="0" applyNumberFormat="1" applyFont="1" applyFill="1" applyBorder="1" applyAlignment="1">
      <alignment vertical="center"/>
    </xf>
    <xf numFmtId="0" fontId="44" fillId="0" borderId="43" xfId="0" applyNumberFormat="1" applyFont="1" applyFill="1" applyBorder="1" applyAlignment="1">
      <alignment vertical="center"/>
    </xf>
    <xf numFmtId="0" fontId="44" fillId="0" borderId="44" xfId="0" applyNumberFormat="1" applyFont="1" applyFill="1" applyBorder="1" applyAlignment="1">
      <alignment vertical="center"/>
    </xf>
    <xf numFmtId="0" fontId="46" fillId="29" borderId="0" xfId="0" applyNumberFormat="1" applyFont="1" applyFill="1" applyBorder="1" applyAlignment="1">
      <alignment horizontal="center" vertical="center"/>
    </xf>
    <xf numFmtId="43" fontId="46" fillId="0" borderId="0" xfId="67" applyFont="1" applyFill="1" applyBorder="1" applyAlignment="1" applyProtection="1">
      <alignment vertical="center"/>
      <protection/>
    </xf>
    <xf numFmtId="0" fontId="47" fillId="0" borderId="45" xfId="0" applyNumberFormat="1" applyFont="1" applyFill="1" applyBorder="1" applyAlignment="1">
      <alignment horizontal="center" vertical="center"/>
    </xf>
    <xf numFmtId="0" fontId="47" fillId="0" borderId="46" xfId="0" applyNumberFormat="1" applyFont="1" applyFill="1" applyBorder="1" applyAlignment="1">
      <alignment horizontal="center" vertical="center"/>
    </xf>
    <xf numFmtId="43" fontId="47" fillId="0" borderId="47" xfId="67" applyFont="1" applyFill="1" applyBorder="1" applyAlignment="1" applyProtection="1">
      <alignment vertical="center"/>
      <protection/>
    </xf>
    <xf numFmtId="43" fontId="47" fillId="0" borderId="48" xfId="67" applyFont="1" applyFill="1" applyBorder="1" applyAlignment="1" applyProtection="1">
      <alignment vertical="center"/>
      <protection/>
    </xf>
    <xf numFmtId="43" fontId="47" fillId="0" borderId="48" xfId="67" applyFont="1" applyFill="1" applyBorder="1" applyAlignment="1" applyProtection="1">
      <alignment horizontal="center" vertical="center"/>
      <protection/>
    </xf>
    <xf numFmtId="43" fontId="47" fillId="0" borderId="48" xfId="67" applyFont="1" applyFill="1" applyBorder="1" applyAlignment="1" applyProtection="1">
      <alignment horizontal="center" vertical="center" wrapText="1"/>
      <protection/>
    </xf>
    <xf numFmtId="0" fontId="48" fillId="0" borderId="49" xfId="0" applyNumberFormat="1" applyFont="1" applyFill="1" applyBorder="1" applyAlignment="1">
      <alignment horizontal="center" vertical="center" wrapText="1"/>
    </xf>
    <xf numFmtId="0" fontId="48" fillId="0" borderId="50" xfId="0" applyNumberFormat="1" applyFont="1" applyFill="1" applyBorder="1" applyAlignment="1">
      <alignment horizontal="center" vertical="center" wrapText="1"/>
    </xf>
    <xf numFmtId="0" fontId="49" fillId="0" borderId="51" xfId="0" applyNumberFormat="1" applyFont="1" applyFill="1" applyBorder="1" applyAlignment="1">
      <alignment horizontal="justify" vertical="center" wrapText="1"/>
    </xf>
    <xf numFmtId="0" fontId="49" fillId="0" borderId="51" xfId="0" applyNumberFormat="1" applyFont="1" applyFill="1" applyBorder="1" applyAlignment="1">
      <alignment horizontal="center" vertical="center" wrapText="1"/>
    </xf>
    <xf numFmtId="186" fontId="49" fillId="0" borderId="51" xfId="67" applyNumberFormat="1" applyFont="1" applyFill="1" applyBorder="1" applyAlignment="1" applyProtection="1">
      <alignment vertical="center" wrapText="1"/>
      <protection/>
    </xf>
    <xf numFmtId="43" fontId="49" fillId="0" borderId="51" xfId="67" applyFont="1" applyFill="1" applyBorder="1" applyAlignment="1" applyProtection="1">
      <alignment horizontal="center" vertical="center" wrapText="1"/>
      <protection/>
    </xf>
    <xf numFmtId="43" fontId="49" fillId="0" borderId="51" xfId="67" applyFont="1" applyFill="1" applyBorder="1" applyAlignment="1" applyProtection="1">
      <alignment vertical="center" wrapText="1"/>
      <protection/>
    </xf>
    <xf numFmtId="0" fontId="46" fillId="0" borderId="52" xfId="0" applyNumberFormat="1" applyFont="1" applyFill="1" applyBorder="1" applyAlignment="1">
      <alignment horizontal="center" vertical="center" wrapText="1"/>
    </xf>
    <xf numFmtId="0" fontId="50" fillId="0" borderId="45" xfId="0" applyFont="1" applyBorder="1" applyAlignment="1">
      <alignment horizontal="left" vertical="center" wrapText="1"/>
    </xf>
    <xf numFmtId="0" fontId="46" fillId="0" borderId="45" xfId="0" applyNumberFormat="1" applyFont="1" applyFill="1" applyBorder="1" applyAlignment="1">
      <alignment horizontal="justify" vertical="center" wrapText="1"/>
    </xf>
    <xf numFmtId="0" fontId="82" fillId="0" borderId="53" xfId="0" applyNumberFormat="1" applyFont="1" applyFill="1" applyBorder="1" applyAlignment="1">
      <alignment horizontal="center" vertical="center" wrapText="1"/>
    </xf>
    <xf numFmtId="43" fontId="51" fillId="0" borderId="51" xfId="67" applyFont="1" applyFill="1" applyBorder="1" applyAlignment="1" applyProtection="1">
      <alignment vertical="center" wrapText="1"/>
      <protection/>
    </xf>
    <xf numFmtId="44" fontId="46" fillId="30" borderId="51" xfId="47" applyNumberFormat="1" applyFont="1" applyFill="1" applyBorder="1" applyAlignment="1" applyProtection="1">
      <alignment vertical="center" wrapText="1"/>
      <protection/>
    </xf>
    <xf numFmtId="10" fontId="51" fillId="24" borderId="51" xfId="67" applyNumberFormat="1" applyFont="1" applyFill="1" applyBorder="1" applyAlignment="1" applyProtection="1">
      <alignment horizontal="center" vertical="center" wrapText="1"/>
      <protection/>
    </xf>
    <xf numFmtId="178" fontId="46" fillId="30" borderId="51" xfId="47" applyNumberFormat="1" applyFont="1" applyFill="1" applyBorder="1" applyAlignment="1" applyProtection="1">
      <alignment vertical="center" wrapText="1"/>
      <protection/>
    </xf>
    <xf numFmtId="0" fontId="82" fillId="0" borderId="49" xfId="0" applyNumberFormat="1" applyFont="1" applyFill="1" applyBorder="1" applyAlignment="1">
      <alignment horizontal="center" vertical="center" wrapText="1"/>
    </xf>
    <xf numFmtId="0" fontId="83" fillId="0" borderId="54" xfId="0" applyNumberFormat="1" applyFont="1" applyFill="1" applyBorder="1" applyAlignment="1">
      <alignment horizontal="center" vertical="center" wrapText="1"/>
    </xf>
    <xf numFmtId="0" fontId="83" fillId="0" borderId="47" xfId="0" applyNumberFormat="1" applyFont="1" applyFill="1" applyBorder="1" applyAlignment="1">
      <alignment horizontal="justify" vertical="center" wrapText="1"/>
    </xf>
    <xf numFmtId="0" fontId="83" fillId="0" borderId="51" xfId="0" applyNumberFormat="1" applyFont="1" applyFill="1" applyBorder="1" applyAlignment="1">
      <alignment horizontal="center" vertical="center" wrapText="1"/>
    </xf>
    <xf numFmtId="43" fontId="83" fillId="0" borderId="51" xfId="67" applyFont="1" applyFill="1" applyBorder="1" applyAlignment="1" applyProtection="1">
      <alignment vertical="center" wrapText="1"/>
      <protection/>
    </xf>
    <xf numFmtId="43" fontId="83" fillId="0" borderId="51" xfId="67" applyFont="1" applyFill="1" applyBorder="1" applyAlignment="1" applyProtection="1">
      <alignment horizontal="center" vertical="center" wrapText="1"/>
      <protection/>
    </xf>
    <xf numFmtId="0" fontId="84" fillId="0" borderId="55" xfId="0" applyNumberFormat="1" applyFont="1" applyFill="1" applyBorder="1" applyAlignment="1">
      <alignment horizontal="center" vertical="center" wrapText="1"/>
    </xf>
    <xf numFmtId="0" fontId="50" fillId="0" borderId="45" xfId="0" applyFont="1" applyBorder="1" applyAlignment="1">
      <alignment horizontal="center" vertical="center"/>
    </xf>
    <xf numFmtId="0" fontId="52" fillId="31" borderId="45" xfId="53" applyFont="1" applyFill="1" applyBorder="1" applyAlignment="1">
      <alignment horizontal="left" vertical="center" wrapText="1"/>
      <protection/>
    </xf>
    <xf numFmtId="186" fontId="82" fillId="0" borderId="51" xfId="67" applyNumberFormat="1" applyFont="1" applyFill="1" applyBorder="1" applyAlignment="1" applyProtection="1">
      <alignment vertical="center" wrapText="1"/>
      <protection/>
    </xf>
    <xf numFmtId="188" fontId="82" fillId="0" borderId="50" xfId="47" applyNumberFormat="1" applyFont="1" applyFill="1" applyBorder="1" applyAlignment="1" applyProtection="1">
      <alignment horizontal="right" vertical="center" wrapText="1"/>
      <protection/>
    </xf>
    <xf numFmtId="188" fontId="82" fillId="0" borderId="56" xfId="47" applyNumberFormat="1" applyFont="1" applyFill="1" applyBorder="1" applyAlignment="1" applyProtection="1">
      <alignment horizontal="right" vertical="center" wrapText="1"/>
      <protection/>
    </xf>
    <xf numFmtId="0" fontId="82" fillId="0" borderId="57" xfId="0" applyNumberFormat="1" applyFont="1" applyFill="1" applyBorder="1" applyAlignment="1">
      <alignment horizontal="center" vertical="center" wrapText="1"/>
    </xf>
    <xf numFmtId="0" fontId="83" fillId="0" borderId="48" xfId="0" applyNumberFormat="1" applyFont="1" applyFill="1" applyBorder="1" applyAlignment="1">
      <alignment horizontal="justify" vertical="center" wrapText="1"/>
    </xf>
    <xf numFmtId="186" fontId="83" fillId="0" borderId="51" xfId="67" applyNumberFormat="1" applyFont="1" applyFill="1" applyBorder="1" applyAlignment="1" applyProtection="1">
      <alignment horizontal="center" vertical="center" wrapText="1"/>
      <protection/>
    </xf>
    <xf numFmtId="43" fontId="82" fillId="0" borderId="51" xfId="67" applyFont="1" applyFill="1" applyBorder="1" applyAlignment="1" applyProtection="1">
      <alignment horizontal="center" vertical="center" wrapText="1"/>
      <protection/>
    </xf>
    <xf numFmtId="0" fontId="82" fillId="0" borderId="50" xfId="0" applyNumberFormat="1" applyFont="1" applyFill="1" applyBorder="1" applyAlignment="1">
      <alignment horizontal="center" vertical="center" wrapText="1"/>
    </xf>
    <xf numFmtId="0" fontId="82" fillId="0" borderId="45" xfId="0" applyFont="1" applyFill="1" applyBorder="1" applyAlignment="1">
      <alignment/>
    </xf>
    <xf numFmtId="189" fontId="82" fillId="0" borderId="51" xfId="67" applyNumberFormat="1" applyFont="1" applyFill="1" applyBorder="1" applyAlignment="1" applyProtection="1">
      <alignment vertical="center" wrapText="1"/>
      <protection/>
    </xf>
    <xf numFmtId="43" fontId="82" fillId="0" borderId="51" xfId="67" applyFont="1" applyFill="1" applyBorder="1" applyAlignment="1" applyProtection="1">
      <alignment vertical="center" wrapText="1"/>
      <protection/>
    </xf>
    <xf numFmtId="0" fontId="47" fillId="32" borderId="49" xfId="0" applyNumberFormat="1" applyFont="1" applyFill="1" applyBorder="1" applyAlignment="1">
      <alignment horizontal="center" vertical="center" wrapText="1"/>
    </xf>
    <xf numFmtId="0" fontId="47" fillId="32" borderId="50" xfId="0" applyNumberFormat="1" applyFont="1" applyFill="1" applyBorder="1" applyAlignment="1">
      <alignment horizontal="center" vertical="center" wrapText="1"/>
    </xf>
    <xf numFmtId="0" fontId="85" fillId="32" borderId="45" xfId="0" applyFont="1" applyFill="1" applyBorder="1" applyAlignment="1">
      <alignment/>
    </xf>
    <xf numFmtId="0" fontId="53" fillId="32" borderId="53" xfId="0" applyNumberFormat="1" applyFont="1" applyFill="1" applyBorder="1" applyAlignment="1">
      <alignment horizontal="center" vertical="center" wrapText="1"/>
    </xf>
    <xf numFmtId="43" fontId="53" fillId="32" borderId="51" xfId="67" applyNumberFormat="1" applyFont="1" applyFill="1" applyBorder="1" applyAlignment="1" applyProtection="1">
      <alignment vertical="center" wrapText="1"/>
      <protection/>
    </xf>
    <xf numFmtId="39" fontId="41" fillId="0" borderId="34" xfId="52" applyNumberFormat="1" applyFont="1" applyFill="1" applyBorder="1" applyAlignment="1" applyProtection="1">
      <alignment horizontal="center" vertical="center"/>
      <protection locked="0"/>
    </xf>
    <xf numFmtId="0" fontId="27" fillId="0" borderId="0" xfId="0" applyNumberFormat="1" applyFont="1" applyFill="1" applyBorder="1" applyAlignment="1">
      <alignment/>
    </xf>
    <xf numFmtId="0" fontId="56" fillId="0" borderId="58" xfId="51" applyFont="1" applyBorder="1" applyAlignment="1">
      <alignment vertical="center"/>
      <protection/>
    </xf>
    <xf numFmtId="0" fontId="56" fillId="0" borderId="59" xfId="51" applyFont="1" applyBorder="1" applyAlignment="1">
      <alignment vertical="center"/>
      <protection/>
    </xf>
    <xf numFmtId="0" fontId="56" fillId="0" borderId="0" xfId="51" applyFont="1" applyAlignment="1">
      <alignment vertical="center"/>
      <protection/>
    </xf>
    <xf numFmtId="0" fontId="57" fillId="0" borderId="0" xfId="51" applyFont="1">
      <alignment/>
      <protection/>
    </xf>
    <xf numFmtId="0" fontId="58" fillId="0" borderId="0" xfId="51" applyFont="1" applyAlignment="1">
      <alignment vertical="center"/>
      <protection/>
    </xf>
    <xf numFmtId="0" fontId="57" fillId="0" borderId="0" xfId="51" applyFont="1" applyAlignment="1">
      <alignment/>
      <protection/>
    </xf>
    <xf numFmtId="0" fontId="56" fillId="0" borderId="0" xfId="51" applyFont="1" applyAlignment="1">
      <alignment horizontal="center"/>
      <protection/>
    </xf>
    <xf numFmtId="0" fontId="58" fillId="0" borderId="0" xfId="51" applyFont="1" applyAlignment="1">
      <alignment horizontal="center" vertical="center"/>
      <protection/>
    </xf>
    <xf numFmtId="0" fontId="56" fillId="0" borderId="60" xfId="51" applyFont="1" applyBorder="1" applyAlignment="1">
      <alignment vertical="center"/>
      <protection/>
    </xf>
    <xf numFmtId="0" fontId="56" fillId="0" borderId="61" xfId="51" applyFont="1" applyBorder="1" applyAlignment="1">
      <alignment vertical="center"/>
      <protection/>
    </xf>
    <xf numFmtId="0" fontId="58" fillId="0" borderId="61" xfId="51" applyFont="1" applyBorder="1" applyAlignment="1">
      <alignment horizontal="right" vertical="center"/>
      <protection/>
    </xf>
    <xf numFmtId="0" fontId="56" fillId="0" borderId="62" xfId="51" applyFont="1" applyBorder="1" applyAlignment="1">
      <alignment vertical="center"/>
      <protection/>
    </xf>
    <xf numFmtId="0" fontId="57" fillId="0" borderId="58" xfId="51" applyFont="1" applyBorder="1" applyAlignment="1">
      <alignment/>
      <protection/>
    </xf>
    <xf numFmtId="10" fontId="56" fillId="0" borderId="0" xfId="51" applyNumberFormat="1" applyFont="1" applyAlignment="1">
      <alignment horizontal="center"/>
      <protection/>
    </xf>
    <xf numFmtId="0" fontId="56" fillId="0" borderId="63" xfId="51" applyFont="1" applyBorder="1" applyAlignment="1">
      <alignment horizontal="center" vertical="center"/>
      <protection/>
    </xf>
    <xf numFmtId="0" fontId="56" fillId="0" borderId="64" xfId="51" applyFont="1" applyBorder="1" applyAlignment="1">
      <alignment horizontal="center" vertical="center"/>
      <protection/>
    </xf>
    <xf numFmtId="0" fontId="59" fillId="0" borderId="64" xfId="51" applyFont="1" applyBorder="1" applyAlignment="1">
      <alignment horizontal="right" vertical="center"/>
      <protection/>
    </xf>
    <xf numFmtId="0" fontId="56" fillId="0" borderId="65" xfId="51" applyFont="1" applyBorder="1" applyAlignment="1">
      <alignment vertical="center"/>
      <protection/>
    </xf>
    <xf numFmtId="0" fontId="56" fillId="0" borderId="58" xfId="51" applyFont="1" applyBorder="1" applyAlignment="1">
      <alignment horizontal="center" vertical="center"/>
      <protection/>
    </xf>
    <xf numFmtId="0" fontId="59" fillId="0" borderId="0" xfId="51" applyFont="1" applyAlignment="1">
      <alignment horizontal="right" vertical="center"/>
      <protection/>
    </xf>
    <xf numFmtId="0" fontId="58" fillId="0" borderId="60" xfId="51" applyFont="1" applyBorder="1" applyAlignment="1">
      <alignment horizontal="right" vertical="center"/>
      <protection/>
    </xf>
    <xf numFmtId="0" fontId="56" fillId="0" borderId="61" xfId="51" applyFont="1" applyBorder="1" applyAlignment="1">
      <alignment horizontal="right" vertical="center"/>
      <protection/>
    </xf>
    <xf numFmtId="0" fontId="56" fillId="0" borderId="63" xfId="51" applyFont="1" applyBorder="1" applyAlignment="1">
      <alignment vertical="center"/>
      <protection/>
    </xf>
    <xf numFmtId="0" fontId="56" fillId="0" borderId="64" xfId="51" applyFont="1" applyBorder="1" applyAlignment="1">
      <alignment vertical="center"/>
      <protection/>
    </xf>
    <xf numFmtId="0" fontId="58" fillId="0" borderId="58" xfId="51" applyFont="1" applyBorder="1" applyAlignment="1">
      <alignment vertical="center"/>
      <protection/>
    </xf>
    <xf numFmtId="0" fontId="60" fillId="0" borderId="0" xfId="51" applyFont="1" applyAlignment="1">
      <alignment horizontal="center" vertical="center"/>
      <protection/>
    </xf>
    <xf numFmtId="0" fontId="61" fillId="0" borderId="0" xfId="51" applyFont="1" applyAlignment="1">
      <alignment vertical="center"/>
      <protection/>
    </xf>
    <xf numFmtId="0" fontId="56" fillId="0" borderId="0" xfId="51" applyFont="1" applyAlignment="1">
      <alignment horizontal="center" vertical="center"/>
      <protection/>
    </xf>
    <xf numFmtId="0" fontId="56" fillId="0" borderId="66" xfId="51" applyFont="1" applyBorder="1" applyAlignment="1">
      <alignment vertical="center"/>
      <protection/>
    </xf>
    <xf numFmtId="0" fontId="56" fillId="0" borderId="67" xfId="51" applyFont="1" applyBorder="1" applyAlignment="1">
      <alignment vertical="center"/>
      <protection/>
    </xf>
    <xf numFmtId="0" fontId="56" fillId="0" borderId="68" xfId="51" applyFont="1" applyBorder="1" applyAlignment="1">
      <alignment vertical="center"/>
      <protection/>
    </xf>
    <xf numFmtId="0" fontId="62" fillId="0" borderId="44" xfId="51" applyFont="1" applyBorder="1" applyAlignment="1">
      <alignment horizontal="center"/>
      <protection/>
    </xf>
    <xf numFmtId="4" fontId="58" fillId="0" borderId="0" xfId="51" applyNumberFormat="1" applyFont="1" applyAlignment="1">
      <alignment horizontal="right" vertical="center"/>
      <protection/>
    </xf>
    <xf numFmtId="0" fontId="55" fillId="0" borderId="0" xfId="51" applyFont="1" applyAlignment="1">
      <alignment horizontal="right" vertical="center"/>
      <protection/>
    </xf>
    <xf numFmtId="4" fontId="55" fillId="0" borderId="0" xfId="51" applyNumberFormat="1" applyFont="1" applyAlignment="1">
      <alignment vertical="center"/>
      <protection/>
    </xf>
    <xf numFmtId="0" fontId="56" fillId="0" borderId="0" xfId="51" applyFont="1" applyBorder="1" applyAlignment="1">
      <alignment vertical="center"/>
      <protection/>
    </xf>
    <xf numFmtId="178" fontId="79" fillId="29" borderId="69" xfId="0" applyNumberFormat="1" applyFont="1" applyFill="1" applyBorder="1" applyAlignment="1">
      <alignment vertical="center"/>
    </xf>
    <xf numFmtId="4" fontId="81" fillId="0" borderId="69" xfId="0" applyNumberFormat="1" applyFont="1" applyFill="1" applyBorder="1" applyAlignment="1">
      <alignment horizontal="center" vertical="center"/>
    </xf>
    <xf numFmtId="4" fontId="81" fillId="29" borderId="69" xfId="0" applyNumberFormat="1" applyFont="1" applyFill="1" applyBorder="1" applyAlignment="1">
      <alignment horizontal="center" vertical="center"/>
    </xf>
    <xf numFmtId="4" fontId="79" fillId="29" borderId="69" xfId="0" applyNumberFormat="1" applyFont="1" applyFill="1" applyBorder="1" applyAlignment="1">
      <alignment vertical="center"/>
    </xf>
    <xf numFmtId="178" fontId="79" fillId="0" borderId="69" xfId="0" applyNumberFormat="1" applyFont="1" applyFill="1" applyBorder="1" applyAlignment="1">
      <alignment vertical="center"/>
    </xf>
    <xf numFmtId="4" fontId="79" fillId="0" borderId="69" xfId="0" applyNumberFormat="1" applyFont="1" applyFill="1" applyBorder="1" applyAlignment="1">
      <alignment vertical="center"/>
    </xf>
    <xf numFmtId="178" fontId="22" fillId="0" borderId="70" xfId="0" applyNumberFormat="1" applyFont="1" applyFill="1" applyBorder="1" applyAlignment="1">
      <alignment horizontal="right" vertical="center"/>
    </xf>
    <xf numFmtId="178" fontId="22" fillId="0" borderId="71" xfId="0" applyNumberFormat="1" applyFont="1" applyFill="1" applyBorder="1" applyAlignment="1">
      <alignment horizontal="right" vertical="center"/>
    </xf>
    <xf numFmtId="178" fontId="79" fillId="0" borderId="72" xfId="0" applyNumberFormat="1" applyFont="1" applyFill="1" applyBorder="1" applyAlignment="1">
      <alignment vertical="center"/>
    </xf>
    <xf numFmtId="4" fontId="81" fillId="0" borderId="72" xfId="0" applyNumberFormat="1" applyFont="1" applyFill="1" applyBorder="1" applyAlignment="1">
      <alignment horizontal="center" vertical="center"/>
    </xf>
    <xf numFmtId="178" fontId="79" fillId="0" borderId="72" xfId="0" applyNumberFormat="1" applyFont="1" applyFill="1" applyBorder="1" applyAlignment="1">
      <alignment horizontal="center" vertical="center"/>
    </xf>
    <xf numFmtId="4" fontId="22" fillId="0" borderId="72" xfId="0" applyNumberFormat="1" applyFont="1" applyFill="1" applyBorder="1" applyAlignment="1">
      <alignment vertical="center"/>
    </xf>
    <xf numFmtId="0" fontId="19" fillId="0" borderId="26" xfId="0" applyFont="1" applyBorder="1" applyAlignment="1">
      <alignment horizontal="left"/>
    </xf>
    <xf numFmtId="178" fontId="79" fillId="29" borderId="71" xfId="0" applyNumberFormat="1" applyFont="1" applyFill="1" applyBorder="1" applyAlignment="1">
      <alignment horizontal="left" vertical="center"/>
    </xf>
    <xf numFmtId="4" fontId="81" fillId="0" borderId="71" xfId="0" applyNumberFormat="1" applyFont="1" applyFill="1" applyBorder="1" applyAlignment="1">
      <alignment horizontal="left" vertical="center"/>
    </xf>
    <xf numFmtId="4" fontId="81" fillId="29" borderId="71" xfId="0" applyNumberFormat="1" applyFont="1" applyFill="1" applyBorder="1" applyAlignment="1">
      <alignment horizontal="left" vertical="center"/>
    </xf>
    <xf numFmtId="4" fontId="79" fillId="29" borderId="71" xfId="0" applyNumberFormat="1" applyFont="1" applyFill="1" applyBorder="1" applyAlignment="1">
      <alignment horizontal="left" vertical="center"/>
    </xf>
    <xf numFmtId="178" fontId="79" fillId="0" borderId="71" xfId="0" applyNumberFormat="1" applyFont="1" applyFill="1" applyBorder="1" applyAlignment="1">
      <alignment horizontal="left" vertical="center"/>
    </xf>
    <xf numFmtId="4" fontId="79" fillId="0" borderId="71" xfId="0" applyNumberFormat="1" applyFont="1" applyFill="1" applyBorder="1" applyAlignment="1">
      <alignment horizontal="left" vertical="center"/>
    </xf>
    <xf numFmtId="178" fontId="22" fillId="0" borderId="71" xfId="0" applyNumberFormat="1" applyFont="1" applyFill="1" applyBorder="1" applyAlignment="1">
      <alignment horizontal="left" vertical="center"/>
    </xf>
    <xf numFmtId="4" fontId="22" fillId="0" borderId="24" xfId="0" applyNumberFormat="1" applyFont="1" applyFill="1" applyBorder="1" applyAlignment="1">
      <alignment horizontal="left" vertical="center"/>
    </xf>
    <xf numFmtId="2" fontId="78" fillId="27" borderId="22" xfId="0" applyNumberFormat="1" applyFont="1" applyFill="1" applyBorder="1" applyAlignment="1">
      <alignment horizontal="left" vertical="center"/>
    </xf>
    <xf numFmtId="2" fontId="78" fillId="27" borderId="23" xfId="0" applyNumberFormat="1" applyFont="1" applyFill="1" applyBorder="1" applyAlignment="1">
      <alignment horizontal="left" vertical="center"/>
    </xf>
    <xf numFmtId="2" fontId="78" fillId="24" borderId="0" xfId="0" applyNumberFormat="1" applyFont="1" applyFill="1" applyBorder="1" applyAlignment="1">
      <alignment horizontal="left" vertical="center"/>
    </xf>
    <xf numFmtId="2" fontId="27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left"/>
    </xf>
    <xf numFmtId="2" fontId="2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22" fillId="0" borderId="71" xfId="0" applyNumberFormat="1" applyFont="1" applyFill="1" applyBorder="1" applyAlignment="1">
      <alignment horizontal="right" vertical="top"/>
    </xf>
    <xf numFmtId="4" fontId="22" fillId="0" borderId="73" xfId="0" applyNumberFormat="1" applyFont="1" applyFill="1" applyBorder="1" applyAlignment="1">
      <alignment vertical="center"/>
    </xf>
    <xf numFmtId="4" fontId="22" fillId="0" borderId="74" xfId="0" applyNumberFormat="1" applyFont="1" applyFill="1" applyBorder="1" applyAlignment="1">
      <alignment horizontal="left" vertical="center"/>
    </xf>
    <xf numFmtId="178" fontId="79" fillId="0" borderId="75" xfId="0" applyNumberFormat="1" applyFont="1" applyFill="1" applyBorder="1" applyAlignment="1">
      <alignment horizontal="left" vertical="center"/>
    </xf>
    <xf numFmtId="0" fontId="23" fillId="0" borderId="45" xfId="0" applyFont="1" applyBorder="1" applyAlignment="1">
      <alignment horizontal="center" vertical="center"/>
    </xf>
    <xf numFmtId="174" fontId="19" fillId="0" borderId="27" xfId="0" applyNumberFormat="1" applyFont="1" applyFill="1" applyBorder="1" applyAlignment="1">
      <alignment horizontal="justify" vertical="center" wrapText="1"/>
    </xf>
    <xf numFmtId="178" fontId="79" fillId="0" borderId="76" xfId="0" applyNumberFormat="1" applyFont="1" applyFill="1" applyBorder="1" applyAlignment="1">
      <alignment horizontal="left" vertical="center"/>
    </xf>
    <xf numFmtId="178" fontId="79" fillId="0" borderId="77" xfId="0" applyNumberFormat="1" applyFont="1" applyFill="1" applyBorder="1" applyAlignment="1">
      <alignment horizontal="left" vertical="center"/>
    </xf>
    <xf numFmtId="178" fontId="79" fillId="0" borderId="78" xfId="0" applyNumberFormat="1" applyFont="1" applyFill="1" applyBorder="1" applyAlignment="1">
      <alignment horizontal="left" vertical="center"/>
    </xf>
    <xf numFmtId="4" fontId="81" fillId="0" borderId="76" xfId="0" applyNumberFormat="1" applyFont="1" applyFill="1" applyBorder="1" applyAlignment="1">
      <alignment horizontal="left" vertical="center"/>
    </xf>
    <xf numFmtId="4" fontId="81" fillId="0" borderId="77" xfId="0" applyNumberFormat="1" applyFont="1" applyFill="1" applyBorder="1" applyAlignment="1">
      <alignment horizontal="left" vertical="center"/>
    </xf>
    <xf numFmtId="4" fontId="81" fillId="0" borderId="78" xfId="0" applyNumberFormat="1" applyFont="1" applyFill="1" applyBorder="1" applyAlignment="1">
      <alignment horizontal="left" vertical="center"/>
    </xf>
    <xf numFmtId="0" fontId="24" fillId="0" borderId="15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/>
    </xf>
    <xf numFmtId="0" fontId="24" fillId="0" borderId="79" xfId="0" applyFont="1" applyFill="1" applyBorder="1" applyAlignment="1">
      <alignment horizontal="center" vertical="center"/>
    </xf>
    <xf numFmtId="0" fontId="24" fillId="0" borderId="80" xfId="0" applyFont="1" applyFill="1" applyBorder="1" applyAlignment="1">
      <alignment horizontal="center" vertical="center"/>
    </xf>
    <xf numFmtId="17" fontId="24" fillId="0" borderId="79" xfId="0" applyNumberFormat="1" applyFont="1" applyFill="1" applyBorder="1" applyAlignment="1">
      <alignment horizontal="center" vertical="center"/>
    </xf>
    <xf numFmtId="17" fontId="24" fillId="0" borderId="80" xfId="0" applyNumberFormat="1" applyFont="1" applyFill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81" xfId="0" applyFont="1" applyBorder="1" applyAlignment="1">
      <alignment horizontal="center" vertical="center"/>
    </xf>
    <xf numFmtId="2" fontId="78" fillId="27" borderId="19" xfId="0" applyNumberFormat="1" applyFont="1" applyFill="1" applyBorder="1" applyAlignment="1">
      <alignment horizontal="center" vertical="center"/>
    </xf>
    <xf numFmtId="2" fontId="78" fillId="27" borderId="41" xfId="0" applyNumberFormat="1" applyFont="1" applyFill="1" applyBorder="1" applyAlignment="1">
      <alignment horizontal="center" vertical="center"/>
    </xf>
    <xf numFmtId="174" fontId="19" fillId="0" borderId="45" xfId="0" applyNumberFormat="1" applyFont="1" applyFill="1" applyBorder="1" applyAlignment="1">
      <alignment horizontal="center" vertical="center" wrapText="1"/>
    </xf>
    <xf numFmtId="0" fontId="24" fillId="0" borderId="17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19" fillId="0" borderId="82" xfId="0" applyFont="1" applyBorder="1" applyAlignment="1">
      <alignment horizontal="center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22" xfId="0" applyFont="1" applyFill="1" applyBorder="1" applyAlignment="1">
      <alignment horizontal="center" vertical="center" shrinkToFit="1"/>
    </xf>
    <xf numFmtId="0" fontId="20" fillId="0" borderId="73" xfId="0" applyFont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0" fontId="24" fillId="0" borderId="84" xfId="0" applyFont="1" applyFill="1" applyBorder="1" applyAlignment="1">
      <alignment horizontal="center" vertical="center" wrapText="1"/>
    </xf>
    <xf numFmtId="0" fontId="24" fillId="0" borderId="85" xfId="0" applyFont="1" applyFill="1" applyBorder="1" applyAlignment="1">
      <alignment horizontal="center" vertical="center" wrapText="1"/>
    </xf>
    <xf numFmtId="0" fontId="24" fillId="0" borderId="86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/>
    </xf>
    <xf numFmtId="0" fontId="19" fillId="0" borderId="8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3" fillId="0" borderId="88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75" xfId="0" applyFont="1" applyFill="1" applyBorder="1" applyAlignment="1">
      <alignment horizontal="left" vertical="center" wrapText="1"/>
    </xf>
    <xf numFmtId="0" fontId="23" fillId="0" borderId="41" xfId="0" applyFont="1" applyFill="1" applyBorder="1" applyAlignment="1">
      <alignment horizontal="center" vertical="center" shrinkToFit="1"/>
    </xf>
    <xf numFmtId="0" fontId="23" fillId="0" borderId="23" xfId="0" applyFont="1" applyFill="1" applyBorder="1" applyAlignment="1">
      <alignment horizontal="center" vertical="center" shrinkToFit="1"/>
    </xf>
    <xf numFmtId="0" fontId="23" fillId="0" borderId="89" xfId="0" applyFont="1" applyFill="1" applyBorder="1" applyAlignment="1">
      <alignment horizontal="left" vertical="center" wrapText="1"/>
    </xf>
    <xf numFmtId="0" fontId="23" fillId="0" borderId="90" xfId="0" applyFont="1" applyFill="1" applyBorder="1" applyAlignment="1">
      <alignment horizontal="left" vertical="center" wrapText="1"/>
    </xf>
    <xf numFmtId="0" fontId="23" fillId="0" borderId="91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57" fillId="0" borderId="0" xfId="51" applyFont="1">
      <alignment/>
      <protection/>
    </xf>
    <xf numFmtId="0" fontId="56" fillId="0" borderId="0" xfId="51" applyFont="1" applyAlignment="1">
      <alignment vertical="center"/>
      <protection/>
    </xf>
    <xf numFmtId="0" fontId="56" fillId="0" borderId="64" xfId="51" applyFont="1" applyBorder="1" applyAlignment="1">
      <alignment horizontal="center" vertical="center" wrapText="1"/>
      <protection/>
    </xf>
    <xf numFmtId="0" fontId="56" fillId="0" borderId="0" xfId="51" applyFont="1" applyBorder="1" applyAlignment="1">
      <alignment horizontal="center" vertical="center" wrapText="1"/>
      <protection/>
    </xf>
    <xf numFmtId="0" fontId="55" fillId="0" borderId="0" xfId="51" applyFont="1" applyAlignment="1">
      <alignment vertical="center"/>
      <protection/>
    </xf>
    <xf numFmtId="0" fontId="57" fillId="0" borderId="58" xfId="51" applyFont="1" applyBorder="1">
      <alignment/>
      <protection/>
    </xf>
    <xf numFmtId="0" fontId="58" fillId="0" borderId="0" xfId="51" applyFont="1" applyAlignment="1">
      <alignment vertical="center"/>
      <protection/>
    </xf>
    <xf numFmtId="0" fontId="58" fillId="0" borderId="67" xfId="51" applyFont="1" applyBorder="1" applyAlignment="1">
      <alignment vertical="center"/>
      <protection/>
    </xf>
    <xf numFmtId="0" fontId="57" fillId="0" borderId="61" xfId="51" applyFont="1" applyBorder="1">
      <alignment/>
      <protection/>
    </xf>
    <xf numFmtId="0" fontId="54" fillId="0" borderId="63" xfId="51" applyFont="1" applyBorder="1" applyAlignment="1">
      <alignment horizontal="center" vertical="center"/>
      <protection/>
    </xf>
    <xf numFmtId="0" fontId="54" fillId="0" borderId="64" xfId="51" applyFont="1" applyBorder="1" applyAlignment="1">
      <alignment horizontal="center" vertical="center"/>
      <protection/>
    </xf>
    <xf numFmtId="0" fontId="54" fillId="0" borderId="65" xfId="51" applyFont="1" applyBorder="1" applyAlignment="1">
      <alignment horizontal="center" vertical="center"/>
      <protection/>
    </xf>
    <xf numFmtId="0" fontId="54" fillId="0" borderId="58" xfId="51" applyFont="1" applyBorder="1" applyAlignment="1">
      <alignment horizontal="center" vertical="center"/>
      <protection/>
    </xf>
    <xf numFmtId="0" fontId="54" fillId="0" borderId="0" xfId="51" applyFont="1" applyBorder="1" applyAlignment="1">
      <alignment horizontal="center" vertical="center"/>
      <protection/>
    </xf>
    <xf numFmtId="0" fontId="54" fillId="0" borderId="59" xfId="51" applyFont="1" applyBorder="1" applyAlignment="1">
      <alignment horizontal="center" vertical="center"/>
      <protection/>
    </xf>
    <xf numFmtId="0" fontId="54" fillId="0" borderId="66" xfId="51" applyFont="1" applyBorder="1" applyAlignment="1">
      <alignment horizontal="center" vertical="center"/>
      <protection/>
    </xf>
    <xf numFmtId="0" fontId="54" fillId="0" borderId="67" xfId="51" applyFont="1" applyBorder="1" applyAlignment="1">
      <alignment horizontal="center" vertical="center"/>
      <protection/>
    </xf>
    <xf numFmtId="0" fontId="54" fillId="0" borderId="68" xfId="51" applyFont="1" applyBorder="1" applyAlignment="1">
      <alignment horizontal="center" vertical="center"/>
      <protection/>
    </xf>
    <xf numFmtId="0" fontId="55" fillId="0" borderId="60" xfId="51" applyFont="1" applyBorder="1" applyAlignment="1">
      <alignment horizontal="center" vertical="center"/>
      <protection/>
    </xf>
    <xf numFmtId="0" fontId="55" fillId="0" borderId="61" xfId="51" applyFont="1" applyBorder="1" applyAlignment="1">
      <alignment horizontal="center" vertical="center"/>
      <protection/>
    </xf>
    <xf numFmtId="0" fontId="55" fillId="0" borderId="92" xfId="51" applyFont="1" applyBorder="1" applyAlignment="1">
      <alignment horizontal="center" vertical="center"/>
      <protection/>
    </xf>
    <xf numFmtId="43" fontId="53" fillId="32" borderId="50" xfId="67" applyFont="1" applyFill="1" applyBorder="1" applyAlignment="1" applyProtection="1">
      <alignment horizontal="center" vertical="center" wrapText="1"/>
      <protection/>
    </xf>
    <xf numFmtId="43" fontId="53" fillId="32" borderId="53" xfId="67" applyFont="1" applyFill="1" applyBorder="1" applyAlignment="1" applyProtection="1">
      <alignment horizontal="center" vertical="center" wrapText="1"/>
      <protection/>
    </xf>
    <xf numFmtId="187" fontId="82" fillId="0" borderId="50" xfId="67" applyNumberFormat="1" applyFont="1" applyFill="1" applyBorder="1" applyAlignment="1" applyProtection="1">
      <alignment horizontal="center" vertical="center" wrapText="1"/>
      <protection/>
    </xf>
    <xf numFmtId="187" fontId="82" fillId="0" borderId="53" xfId="67" applyNumberFormat="1" applyFont="1" applyFill="1" applyBorder="1" applyAlignment="1" applyProtection="1">
      <alignment horizontal="center" vertical="center" wrapText="1"/>
      <protection/>
    </xf>
    <xf numFmtId="187" fontId="83" fillId="0" borderId="50" xfId="67" applyNumberFormat="1" applyFont="1" applyFill="1" applyBorder="1" applyAlignment="1" applyProtection="1">
      <alignment horizontal="center" vertical="center" wrapText="1"/>
      <protection/>
    </xf>
    <xf numFmtId="187" fontId="83" fillId="0" borderId="53" xfId="67" applyNumberFormat="1" applyFont="1" applyFill="1" applyBorder="1" applyAlignment="1" applyProtection="1">
      <alignment horizontal="center" vertical="center" wrapText="1"/>
      <protection/>
    </xf>
    <xf numFmtId="190" fontId="82" fillId="0" borderId="50" xfId="55" applyNumberFormat="1" applyFont="1" applyFill="1" applyBorder="1" applyAlignment="1" applyProtection="1">
      <alignment horizontal="left" vertical="center" wrapText="1"/>
      <protection/>
    </xf>
    <xf numFmtId="190" fontId="82" fillId="0" borderId="53" xfId="55" applyNumberFormat="1" applyFont="1" applyFill="1" applyBorder="1" applyAlignment="1" applyProtection="1">
      <alignment horizontal="left" vertical="center" wrapText="1"/>
      <protection/>
    </xf>
    <xf numFmtId="187" fontId="82" fillId="0" borderId="50" xfId="67" applyNumberFormat="1" applyFont="1" applyFill="1" applyBorder="1" applyAlignment="1" applyProtection="1">
      <alignment horizontal="left" vertical="center" wrapText="1"/>
      <protection/>
    </xf>
    <xf numFmtId="187" fontId="82" fillId="0" borderId="53" xfId="67" applyNumberFormat="1" applyFont="1" applyFill="1" applyBorder="1" applyAlignment="1" applyProtection="1">
      <alignment horizontal="left" vertical="center" wrapText="1"/>
      <protection/>
    </xf>
    <xf numFmtId="10" fontId="53" fillId="33" borderId="50" xfId="55" applyNumberFormat="1" applyFont="1" applyFill="1" applyBorder="1" applyAlignment="1" applyProtection="1">
      <alignment horizontal="left" vertical="center" wrapText="1"/>
      <protection/>
    </xf>
    <xf numFmtId="10" fontId="53" fillId="33" borderId="53" xfId="55" applyNumberFormat="1" applyFont="1" applyFill="1" applyBorder="1" applyAlignment="1" applyProtection="1">
      <alignment horizontal="left" vertical="center" wrapText="1"/>
      <protection/>
    </xf>
    <xf numFmtId="187" fontId="49" fillId="30" borderId="50" xfId="67" applyNumberFormat="1" applyFont="1" applyFill="1" applyBorder="1" applyAlignment="1" applyProtection="1">
      <alignment horizontal="center" vertical="center" wrapText="1"/>
      <protection/>
    </xf>
    <xf numFmtId="187" fontId="49" fillId="30" borderId="53" xfId="67" applyNumberFormat="1" applyFont="1" applyFill="1" applyBorder="1" applyAlignment="1" applyProtection="1">
      <alignment horizontal="center" vertical="center" wrapText="1"/>
      <protection/>
    </xf>
    <xf numFmtId="173" fontId="83" fillId="0" borderId="50" xfId="47" applyFont="1" applyFill="1" applyBorder="1" applyAlignment="1" applyProtection="1">
      <alignment horizontal="center" vertical="center" wrapText="1"/>
      <protection/>
    </xf>
    <xf numFmtId="173" fontId="83" fillId="0" borderId="53" xfId="47" applyFont="1" applyFill="1" applyBorder="1" applyAlignment="1" applyProtection="1">
      <alignment horizontal="center" vertical="center" wrapText="1"/>
      <protection/>
    </xf>
    <xf numFmtId="0" fontId="44" fillId="0" borderId="45" xfId="0" applyNumberFormat="1" applyFont="1" applyFill="1" applyBorder="1" applyAlignment="1">
      <alignment horizontal="center" vertical="center"/>
    </xf>
    <xf numFmtId="0" fontId="45" fillId="0" borderId="93" xfId="0" applyNumberFormat="1" applyFont="1" applyFill="1" applyBorder="1" applyAlignment="1">
      <alignment horizontal="center" vertical="center"/>
    </xf>
    <xf numFmtId="0" fontId="45" fillId="0" borderId="46" xfId="0" applyNumberFormat="1" applyFont="1" applyFill="1" applyBorder="1" applyAlignment="1">
      <alignment horizontal="center" vertical="center"/>
    </xf>
    <xf numFmtId="0" fontId="46" fillId="29" borderId="94" xfId="0" applyNumberFormat="1" applyFont="1" applyFill="1" applyBorder="1" applyAlignment="1">
      <alignment horizontal="center" vertical="center" wrapText="1"/>
    </xf>
    <xf numFmtId="0" fontId="46" fillId="29" borderId="0" xfId="0" applyNumberFormat="1" applyFont="1" applyFill="1" applyBorder="1" applyAlignment="1">
      <alignment horizontal="center" vertical="center" wrapText="1"/>
    </xf>
    <xf numFmtId="0" fontId="46" fillId="29" borderId="95" xfId="0" applyNumberFormat="1" applyFont="1" applyFill="1" applyBorder="1" applyAlignment="1">
      <alignment horizontal="center" vertical="center" wrapText="1"/>
    </xf>
    <xf numFmtId="0" fontId="46" fillId="29" borderId="96" xfId="0" applyNumberFormat="1" applyFont="1" applyFill="1" applyBorder="1" applyAlignment="1">
      <alignment horizontal="center" vertical="center" wrapText="1"/>
    </xf>
    <xf numFmtId="0" fontId="47" fillId="34" borderId="45" xfId="0" applyNumberFormat="1" applyFont="1" applyFill="1" applyBorder="1" applyAlignment="1">
      <alignment horizontal="center" vertical="center"/>
    </xf>
    <xf numFmtId="43" fontId="47" fillId="0" borderId="97" xfId="67" applyFont="1" applyFill="1" applyBorder="1" applyAlignment="1" applyProtection="1">
      <alignment horizontal="center" vertical="center" wrapText="1"/>
      <protection/>
    </xf>
    <xf numFmtId="43" fontId="47" fillId="0" borderId="97" xfId="67" applyFont="1" applyFill="1" applyBorder="1" applyAlignment="1" applyProtection="1">
      <alignment horizontal="center" vertical="center"/>
      <protection/>
    </xf>
    <xf numFmtId="0" fontId="20" fillId="0" borderId="75" xfId="52" applyFont="1" applyFill="1" applyBorder="1" applyAlignment="1">
      <alignment horizontal="left" vertical="center"/>
      <protection/>
    </xf>
    <xf numFmtId="0" fontId="20" fillId="0" borderId="12" xfId="52" applyFont="1" applyFill="1" applyBorder="1" applyAlignment="1">
      <alignment horizontal="left" vertical="center"/>
      <protection/>
    </xf>
    <xf numFmtId="0" fontId="27" fillId="0" borderId="98" xfId="52" applyFont="1" applyFill="1" applyBorder="1" applyAlignment="1">
      <alignment horizontal="center" vertical="center" wrapText="1"/>
      <protection/>
    </xf>
    <xf numFmtId="0" fontId="27" fillId="0" borderId="10" xfId="52" applyFont="1" applyFill="1" applyBorder="1" applyAlignment="1">
      <alignment horizontal="center" vertical="center" wrapText="1"/>
      <protection/>
    </xf>
    <xf numFmtId="0" fontId="27" fillId="0" borderId="99" xfId="52" applyFont="1" applyFill="1" applyBorder="1" applyAlignment="1">
      <alignment horizontal="center" vertical="center" wrapText="1"/>
      <protection/>
    </xf>
    <xf numFmtId="0" fontId="29" fillId="0" borderId="75" xfId="52" applyFont="1" applyFill="1" applyBorder="1" applyAlignment="1">
      <alignment horizontal="center" vertical="center" wrapText="1"/>
      <protection/>
    </xf>
    <xf numFmtId="0" fontId="29" fillId="0" borderId="100" xfId="52" applyFont="1" applyFill="1" applyBorder="1" applyAlignment="1">
      <alignment horizontal="center" vertical="center" wrapText="1"/>
      <protection/>
    </xf>
    <xf numFmtId="0" fontId="20" fillId="0" borderId="100" xfId="52" applyFont="1" applyFill="1" applyBorder="1" applyAlignment="1">
      <alignment horizontal="left" shrinkToFit="1"/>
      <protection/>
    </xf>
    <xf numFmtId="0" fontId="20" fillId="0" borderId="101" xfId="52" applyFont="1" applyFill="1" applyBorder="1" applyAlignment="1">
      <alignment horizontal="left" shrinkToFit="1"/>
      <protection/>
    </xf>
    <xf numFmtId="0" fontId="29" fillId="0" borderId="75" xfId="52" applyFont="1" applyFill="1" applyBorder="1" applyAlignment="1">
      <alignment horizontal="center" shrinkToFit="1"/>
      <protection/>
    </xf>
    <xf numFmtId="0" fontId="29" fillId="0" borderId="100" xfId="52" applyFont="1" applyFill="1" applyBorder="1" applyAlignment="1">
      <alignment horizontal="center" shrinkToFit="1"/>
      <protection/>
    </xf>
    <xf numFmtId="39" fontId="35" fillId="0" borderId="102" xfId="52" applyNumberFormat="1" applyFont="1" applyFill="1" applyBorder="1" applyAlignment="1" applyProtection="1">
      <alignment horizontal="center" shrinkToFit="1"/>
      <protection locked="0"/>
    </xf>
    <xf numFmtId="39" fontId="35" fillId="0" borderId="103" xfId="52" applyNumberFormat="1" applyFont="1" applyFill="1" applyBorder="1" applyAlignment="1" applyProtection="1">
      <alignment horizontal="center" shrinkToFit="1"/>
      <protection locked="0"/>
    </xf>
    <xf numFmtId="39" fontId="35" fillId="0" borderId="104" xfId="52" applyNumberFormat="1" applyFont="1" applyFill="1" applyBorder="1" applyAlignment="1" applyProtection="1">
      <alignment horizontal="center" shrinkToFit="1"/>
      <protection locked="0"/>
    </xf>
    <xf numFmtId="39" fontId="35" fillId="0" borderId="74" xfId="52" applyNumberFormat="1" applyFont="1" applyFill="1" applyBorder="1" applyAlignment="1" applyProtection="1">
      <alignment horizontal="center" shrinkToFit="1"/>
      <protection locked="0"/>
    </xf>
    <xf numFmtId="39" fontId="35" fillId="0" borderId="79" xfId="52" applyNumberFormat="1" applyFont="1" applyFill="1" applyBorder="1" applyAlignment="1" applyProtection="1">
      <alignment horizontal="center" shrinkToFit="1"/>
      <protection locked="0"/>
    </xf>
    <xf numFmtId="0" fontId="20" fillId="0" borderId="80" xfId="52" applyFont="1" applyFill="1" applyBorder="1" applyAlignment="1" applyProtection="1">
      <alignment horizontal="left" shrinkToFit="1"/>
      <protection locked="0"/>
    </xf>
    <xf numFmtId="0" fontId="20" fillId="0" borderId="105" xfId="52" applyFont="1" applyFill="1" applyBorder="1" applyAlignment="1" applyProtection="1">
      <alignment horizontal="left" shrinkToFit="1"/>
      <protection locked="0"/>
    </xf>
    <xf numFmtId="39" fontId="20" fillId="0" borderId="106" xfId="52" applyNumberFormat="1" applyFont="1" applyFill="1" applyBorder="1" applyAlignment="1" applyProtection="1">
      <alignment horizontal="left" shrinkToFit="1"/>
      <protection locked="0"/>
    </xf>
    <xf numFmtId="39" fontId="20" fillId="0" borderId="107" xfId="52" applyNumberFormat="1" applyFont="1" applyFill="1" applyBorder="1" applyAlignment="1" applyProtection="1">
      <alignment horizontal="left" shrinkToFit="1"/>
      <protection locked="0"/>
    </xf>
    <xf numFmtId="39" fontId="20" fillId="0" borderId="108" xfId="52" applyNumberFormat="1" applyFont="1" applyFill="1" applyBorder="1" applyAlignment="1" applyProtection="1">
      <alignment horizontal="left" shrinkToFit="1"/>
      <protection locked="0"/>
    </xf>
    <xf numFmtId="0" fontId="20" fillId="0" borderId="91" xfId="52" applyFont="1" applyFill="1" applyBorder="1" applyAlignment="1">
      <alignment horizontal="left" vertical="center"/>
      <protection/>
    </xf>
    <xf numFmtId="0" fontId="20" fillId="0" borderId="80" xfId="52" applyFont="1" applyFill="1" applyBorder="1" applyAlignment="1">
      <alignment horizontal="left" vertical="center"/>
      <protection/>
    </xf>
    <xf numFmtId="0" fontId="21" fillId="0" borderId="12" xfId="52" applyFont="1" applyFill="1" applyBorder="1" applyAlignment="1" applyProtection="1">
      <alignment horizontal="center" shrinkToFit="1"/>
      <protection locked="0"/>
    </xf>
    <xf numFmtId="0" fontId="21" fillId="0" borderId="69" xfId="52" applyFont="1" applyFill="1" applyBorder="1" applyAlignment="1" applyProtection="1">
      <alignment horizontal="center" shrinkToFit="1"/>
      <protection locked="0"/>
    </xf>
    <xf numFmtId="0" fontId="20" fillId="0" borderId="109" xfId="52" applyFont="1" applyFill="1" applyBorder="1" applyAlignment="1">
      <alignment horizontal="left" vertical="center"/>
      <protection/>
    </xf>
    <xf numFmtId="0" fontId="20" fillId="0" borderId="27" xfId="52" applyFont="1" applyFill="1" applyBorder="1" applyAlignment="1">
      <alignment horizontal="left" vertical="center"/>
      <protection/>
    </xf>
    <xf numFmtId="0" fontId="20" fillId="0" borderId="110" xfId="52" applyFont="1" applyFill="1" applyBorder="1" applyAlignment="1">
      <alignment horizontal="left" vertical="center"/>
      <protection/>
    </xf>
    <xf numFmtId="0" fontId="21" fillId="0" borderId="20" xfId="52" applyFont="1" applyFill="1" applyBorder="1" applyAlignment="1" applyProtection="1">
      <alignment horizontal="right" shrinkToFit="1"/>
      <protection locked="0"/>
    </xf>
    <xf numFmtId="0" fontId="29" fillId="0" borderId="100" xfId="52" applyFont="1" applyFill="1" applyBorder="1" applyAlignment="1">
      <alignment horizontal="left" shrinkToFit="1"/>
      <protection/>
    </xf>
    <xf numFmtId="0" fontId="29" fillId="0" borderId="88" xfId="52" applyFont="1" applyFill="1" applyBorder="1" applyAlignment="1">
      <alignment horizontal="left" shrinkToFit="1"/>
      <protection/>
    </xf>
    <xf numFmtId="39" fontId="40" fillId="0" borderId="60" xfId="52" applyNumberFormat="1" applyFont="1" applyFill="1" applyBorder="1" applyAlignment="1" applyProtection="1">
      <alignment horizontal="center"/>
      <protection locked="0"/>
    </xf>
    <xf numFmtId="39" fontId="40" fillId="0" borderId="62" xfId="52" applyNumberFormat="1" applyFont="1" applyFill="1" applyBorder="1" applyAlignment="1" applyProtection="1">
      <alignment horizontal="center"/>
      <protection locked="0"/>
    </xf>
    <xf numFmtId="39" fontId="32" fillId="0" borderId="111" xfId="52" applyNumberFormat="1" applyFont="1" applyFill="1" applyBorder="1" applyAlignment="1" applyProtection="1">
      <alignment horizontal="center" vertical="center" shrinkToFit="1"/>
      <protection locked="0"/>
    </xf>
    <xf numFmtId="39" fontId="32" fillId="0" borderId="112" xfId="52" applyNumberFormat="1" applyFont="1" applyFill="1" applyBorder="1" applyAlignment="1" applyProtection="1">
      <alignment horizontal="center" vertical="center" shrinkToFit="1"/>
      <protection locked="0"/>
    </xf>
    <xf numFmtId="39" fontId="32" fillId="0" borderId="113" xfId="52" applyNumberFormat="1" applyFont="1" applyFill="1" applyBorder="1" applyAlignment="1" applyProtection="1">
      <alignment horizontal="center" vertical="center" shrinkToFit="1"/>
      <protection locked="0"/>
    </xf>
    <xf numFmtId="0" fontId="23" fillId="0" borderId="12" xfId="52" applyFont="1" applyFill="1" applyBorder="1" applyAlignment="1" applyProtection="1">
      <alignment vertical="center" wrapText="1"/>
      <protection locked="0"/>
    </xf>
    <xf numFmtId="0" fontId="23" fillId="0" borderId="69" xfId="52" applyFont="1" applyFill="1" applyBorder="1" applyAlignment="1" applyProtection="1">
      <alignment vertical="center" wrapText="1"/>
      <protection locked="0"/>
    </xf>
    <xf numFmtId="0" fontId="35" fillId="0" borderId="79" xfId="52" applyFont="1" applyFill="1" applyBorder="1" applyAlignment="1" applyProtection="1">
      <alignment horizontal="center" shrinkToFit="1"/>
      <protection locked="0"/>
    </xf>
    <xf numFmtId="0" fontId="35" fillId="0" borderId="73" xfId="52" applyFont="1" applyFill="1" applyBorder="1" applyAlignment="1" applyProtection="1">
      <alignment horizontal="center" shrinkToFit="1"/>
      <protection locked="0"/>
    </xf>
    <xf numFmtId="175" fontId="32" fillId="0" borderId="69" xfId="52" applyNumberFormat="1" applyFont="1" applyFill="1" applyBorder="1" applyAlignment="1" applyProtection="1">
      <alignment horizontal="left" shrinkToFit="1"/>
      <protection locked="0"/>
    </xf>
    <xf numFmtId="175" fontId="32" fillId="0" borderId="75" xfId="52" applyNumberFormat="1" applyFont="1" applyFill="1" applyBorder="1" applyAlignment="1" applyProtection="1">
      <alignment horizontal="left" shrinkToFit="1"/>
      <protection locked="0"/>
    </xf>
    <xf numFmtId="0" fontId="32" fillId="0" borderId="69" xfId="52" applyFont="1" applyFill="1" applyBorder="1" applyAlignment="1" applyProtection="1">
      <alignment horizontal="left" shrinkToFit="1"/>
      <protection locked="0"/>
    </xf>
    <xf numFmtId="0" fontId="32" fillId="0" borderId="75" xfId="52" applyFont="1" applyFill="1" applyBorder="1" applyAlignment="1" applyProtection="1">
      <alignment horizontal="left" shrinkToFit="1"/>
      <protection locked="0"/>
    </xf>
    <xf numFmtId="0" fontId="23" fillId="0" borderId="12" xfId="52" applyFont="1" applyFill="1" applyBorder="1" applyAlignment="1" applyProtection="1">
      <alignment horizontal="center" vertical="center" wrapText="1"/>
      <protection locked="0"/>
    </xf>
    <xf numFmtId="0" fontId="32" fillId="0" borderId="114" xfId="52" applyNumberFormat="1" applyFont="1" applyFill="1" applyBorder="1" applyAlignment="1" applyProtection="1">
      <alignment horizontal="center" vertical="center" shrinkToFit="1"/>
      <protection locked="0"/>
    </xf>
    <xf numFmtId="175" fontId="32" fillId="0" borderId="114" xfId="52" applyNumberFormat="1" applyFont="1" applyFill="1" applyBorder="1" applyAlignment="1" applyProtection="1">
      <alignment horizontal="justify" vertical="center"/>
      <protection locked="0"/>
    </xf>
    <xf numFmtId="39" fontId="32" fillId="0" borderId="114" xfId="52" applyNumberFormat="1" applyFont="1" applyFill="1" applyBorder="1" applyAlignment="1" applyProtection="1">
      <alignment vertical="top" shrinkToFit="1"/>
      <protection locked="0"/>
    </xf>
    <xf numFmtId="39" fontId="32" fillId="0" borderId="12" xfId="52" applyNumberFormat="1" applyFont="1" applyFill="1" applyBorder="1" applyAlignment="1" applyProtection="1">
      <alignment/>
      <protection locked="0"/>
    </xf>
    <xf numFmtId="179" fontId="21" fillId="0" borderId="17" xfId="52" applyNumberFormat="1" applyFont="1" applyFill="1" applyBorder="1" applyAlignment="1" applyProtection="1">
      <alignment horizontal="center" vertical="center"/>
      <protection locked="0"/>
    </xf>
    <xf numFmtId="179" fontId="21" fillId="0" borderId="18" xfId="52" applyNumberFormat="1" applyFont="1" applyFill="1" applyBorder="1" applyAlignment="1" applyProtection="1">
      <alignment horizontal="center" vertical="center"/>
      <protection locked="0"/>
    </xf>
    <xf numFmtId="39" fontId="21" fillId="0" borderId="21" xfId="52" applyNumberFormat="1" applyFont="1" applyFill="1" applyBorder="1" applyAlignment="1" applyProtection="1">
      <alignment horizontal="center" vertical="center"/>
      <protection locked="0"/>
    </xf>
    <xf numFmtId="0" fontId="20" fillId="0" borderId="115" xfId="0" applyFont="1" applyFill="1" applyBorder="1" applyAlignment="1">
      <alignment horizontal="center" vertical="center" shrinkToFit="1"/>
    </xf>
    <xf numFmtId="0" fontId="20" fillId="0" borderId="116" xfId="0" applyFont="1" applyFill="1" applyBorder="1" applyAlignment="1">
      <alignment horizontal="center" vertical="center" shrinkToFit="1"/>
    </xf>
    <xf numFmtId="49" fontId="21" fillId="0" borderId="89" xfId="52" applyNumberFormat="1" applyFont="1" applyFill="1" applyBorder="1" applyAlignment="1">
      <alignment horizontal="center" vertical="center" wrapText="1" shrinkToFit="1"/>
      <protection/>
    </xf>
    <xf numFmtId="49" fontId="21" fillId="0" borderId="90" xfId="52" applyNumberFormat="1" applyFont="1" applyFill="1" applyBorder="1" applyAlignment="1">
      <alignment horizontal="center" vertical="center" wrapText="1" shrinkToFit="1"/>
      <protection/>
    </xf>
    <xf numFmtId="49" fontId="21" fillId="0" borderId="91" xfId="52" applyNumberFormat="1" applyFont="1" applyFill="1" applyBorder="1" applyAlignment="1">
      <alignment horizontal="center" vertical="center" wrapText="1" shrinkToFit="1"/>
      <protection/>
    </xf>
    <xf numFmtId="173" fontId="32" fillId="0" borderId="10" xfId="52" applyNumberFormat="1" applyFont="1" applyFill="1" applyBorder="1" applyAlignment="1" applyProtection="1">
      <alignment vertical="center" shrinkToFit="1"/>
      <protection locked="0"/>
    </xf>
    <xf numFmtId="0" fontId="23" fillId="0" borderId="25" xfId="52" applyFont="1" applyFill="1" applyBorder="1" applyAlignment="1" applyProtection="1">
      <alignment horizontal="center" vertical="center"/>
      <protection locked="0"/>
    </xf>
    <xf numFmtId="0" fontId="23" fillId="0" borderId="26" xfId="52" applyFont="1" applyFill="1" applyBorder="1" applyAlignment="1" applyProtection="1">
      <alignment horizontal="center" vertical="center"/>
      <protection locked="0"/>
    </xf>
    <xf numFmtId="0" fontId="23" fillId="0" borderId="21" xfId="52" applyFont="1" applyFill="1" applyBorder="1" applyAlignment="1" applyProtection="1">
      <alignment horizontal="center" vertical="center"/>
      <protection locked="0"/>
    </xf>
    <xf numFmtId="1" fontId="32" fillId="0" borderId="10" xfId="52" applyNumberFormat="1" applyFont="1" applyFill="1" applyBorder="1" applyAlignment="1" applyProtection="1">
      <alignment horizontal="center" vertical="center"/>
      <protection locked="0"/>
    </xf>
    <xf numFmtId="1" fontId="32" fillId="0" borderId="17" xfId="52" applyNumberFormat="1" applyFont="1" applyFill="1" applyBorder="1" applyAlignment="1" applyProtection="1">
      <alignment horizontal="center" vertical="center"/>
      <protection locked="0"/>
    </xf>
    <xf numFmtId="0" fontId="32" fillId="0" borderId="10" xfId="52" applyFont="1" applyFill="1" applyBorder="1" applyAlignment="1" applyProtection="1">
      <alignment horizontal="center" vertical="center" shrinkToFit="1"/>
      <protection locked="0"/>
    </xf>
    <xf numFmtId="0" fontId="32" fillId="0" borderId="117" xfId="52" applyNumberFormat="1" applyFont="1" applyFill="1" applyBorder="1" applyAlignment="1" applyProtection="1">
      <alignment horizontal="center" vertical="center" shrinkToFit="1"/>
      <protection locked="0"/>
    </xf>
    <xf numFmtId="0" fontId="24" fillId="0" borderId="41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175" fontId="32" fillId="0" borderId="118" xfId="52" applyNumberFormat="1" applyFont="1" applyFill="1" applyBorder="1" applyAlignment="1" applyProtection="1">
      <alignment horizontal="justify" vertical="center"/>
      <protection locked="0"/>
    </xf>
    <xf numFmtId="39" fontId="32" fillId="0" borderId="117" xfId="52" applyNumberFormat="1" applyFont="1" applyFill="1" applyBorder="1" applyAlignment="1" applyProtection="1">
      <alignment vertical="center" shrinkToFit="1"/>
      <protection locked="0"/>
    </xf>
    <xf numFmtId="39" fontId="32" fillId="0" borderId="12" xfId="52" applyNumberFormat="1" applyFont="1" applyFill="1" applyBorder="1" applyAlignment="1" applyProtection="1">
      <alignment shrinkToFit="1"/>
      <protection locked="0"/>
    </xf>
    <xf numFmtId="0" fontId="20" fillId="0" borderId="73" xfId="52" applyFont="1" applyFill="1" applyBorder="1" applyAlignment="1">
      <alignment horizontal="center" wrapText="1" shrinkToFit="1"/>
      <protection/>
    </xf>
    <xf numFmtId="0" fontId="20" fillId="0" borderId="83" xfId="52" applyFont="1" applyFill="1" applyBorder="1" applyAlignment="1">
      <alignment horizontal="center" wrapText="1" shrinkToFit="1"/>
      <protection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119" xfId="0" applyFont="1" applyFill="1" applyBorder="1" applyAlignment="1">
      <alignment horizontal="center" vertical="center" shrinkToFit="1"/>
    </xf>
    <xf numFmtId="0" fontId="20" fillId="0" borderId="88" xfId="52" applyFont="1" applyFill="1" applyBorder="1" applyAlignment="1">
      <alignment horizontal="left" wrapText="1" shrinkToFi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2 3" xfId="51"/>
    <cellStyle name="Normal_Cronograma São Carlos Interceptor Corrego Gregorio fev 2013" xfId="52"/>
    <cellStyle name="Normal_Pesquisa no referencial 10 de maio de 2013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ítulo 5" xfId="65"/>
    <cellStyle name="Total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57150</xdr:rowOff>
    </xdr:from>
    <xdr:to>
      <xdr:col>9</xdr:col>
      <xdr:colOff>1171575</xdr:colOff>
      <xdr:row>2</xdr:row>
      <xdr:rowOff>266700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92075" y="57150"/>
          <a:ext cx="10953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29</xdr:row>
      <xdr:rowOff>47625</xdr:rowOff>
    </xdr:from>
    <xdr:to>
      <xdr:col>6</xdr:col>
      <xdr:colOff>200025</xdr:colOff>
      <xdr:row>31</xdr:row>
      <xdr:rowOff>123825</xdr:rowOff>
    </xdr:to>
    <xdr:sp>
      <xdr:nvSpPr>
        <xdr:cNvPr id="1" name="Chave esquerda 1"/>
        <xdr:cNvSpPr>
          <a:spLocks/>
        </xdr:cNvSpPr>
      </xdr:nvSpPr>
      <xdr:spPr>
        <a:xfrm>
          <a:off x="4505325" y="4895850"/>
          <a:ext cx="104775" cy="400050"/>
        </a:xfrm>
        <a:prstGeom prst="leftBrace">
          <a:avLst>
            <a:gd name="adj1" fmla="val -47791"/>
            <a:gd name="adj2" fmla="val 85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390525</xdr:colOff>
      <xdr:row>39</xdr:row>
      <xdr:rowOff>142875</xdr:rowOff>
    </xdr:from>
    <xdr:to>
      <xdr:col>5</xdr:col>
      <xdr:colOff>438150</xdr:colOff>
      <xdr:row>42</xdr:row>
      <xdr:rowOff>28575</xdr:rowOff>
    </xdr:to>
    <xdr:sp>
      <xdr:nvSpPr>
        <xdr:cNvPr id="2" name="Colchete esquerdo 2"/>
        <xdr:cNvSpPr>
          <a:spLocks/>
        </xdr:cNvSpPr>
      </xdr:nvSpPr>
      <xdr:spPr>
        <a:xfrm>
          <a:off x="3962400" y="6657975"/>
          <a:ext cx="47625" cy="447675"/>
        </a:xfrm>
        <a:prstGeom prst="leftBracket">
          <a:avLst>
            <a:gd name="adj" fmla="val -4914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38100</xdr:colOff>
      <xdr:row>39</xdr:row>
      <xdr:rowOff>104775</xdr:rowOff>
    </xdr:from>
    <xdr:to>
      <xdr:col>9</xdr:col>
      <xdr:colOff>95250</xdr:colOff>
      <xdr:row>42</xdr:row>
      <xdr:rowOff>0</xdr:rowOff>
    </xdr:to>
    <xdr:sp>
      <xdr:nvSpPr>
        <xdr:cNvPr id="3" name="Colchete direito 4"/>
        <xdr:cNvSpPr>
          <a:spLocks/>
        </xdr:cNvSpPr>
      </xdr:nvSpPr>
      <xdr:spPr>
        <a:xfrm>
          <a:off x="8172450" y="6619875"/>
          <a:ext cx="57150" cy="457200"/>
        </a:xfrm>
        <a:prstGeom prst="rightBracket">
          <a:avLst>
            <a:gd name="adj" fmla="val -4900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9</xdr:col>
      <xdr:colOff>38100</xdr:colOff>
      <xdr:row>45</xdr:row>
      <xdr:rowOff>104775</xdr:rowOff>
    </xdr:from>
    <xdr:to>
      <xdr:col>9</xdr:col>
      <xdr:colOff>95250</xdr:colOff>
      <xdr:row>47</xdr:row>
      <xdr:rowOff>152400</xdr:rowOff>
    </xdr:to>
    <xdr:sp>
      <xdr:nvSpPr>
        <xdr:cNvPr id="4" name="Colchete direito 5"/>
        <xdr:cNvSpPr>
          <a:spLocks/>
        </xdr:cNvSpPr>
      </xdr:nvSpPr>
      <xdr:spPr>
        <a:xfrm>
          <a:off x="8172450" y="7677150"/>
          <a:ext cx="57150" cy="447675"/>
        </a:xfrm>
        <a:prstGeom prst="rightBracket">
          <a:avLst>
            <a:gd name="adj" fmla="val -489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5</xdr:col>
      <xdr:colOff>371475</xdr:colOff>
      <xdr:row>45</xdr:row>
      <xdr:rowOff>133350</xdr:rowOff>
    </xdr:from>
    <xdr:to>
      <xdr:col>5</xdr:col>
      <xdr:colOff>419100</xdr:colOff>
      <xdr:row>48</xdr:row>
      <xdr:rowOff>9525</xdr:rowOff>
    </xdr:to>
    <xdr:sp>
      <xdr:nvSpPr>
        <xdr:cNvPr id="5" name="Colchete esquerdo 6"/>
        <xdr:cNvSpPr>
          <a:spLocks/>
        </xdr:cNvSpPr>
      </xdr:nvSpPr>
      <xdr:spPr>
        <a:xfrm>
          <a:off x="3943350" y="7705725"/>
          <a:ext cx="47625" cy="438150"/>
        </a:xfrm>
        <a:prstGeom prst="leftBracket">
          <a:avLst>
            <a:gd name="adj" fmla="val -4912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180975</xdr:colOff>
      <xdr:row>7</xdr:row>
      <xdr:rowOff>95250</xdr:rowOff>
    </xdr:from>
    <xdr:to>
      <xdr:col>4</xdr:col>
      <xdr:colOff>1133475</xdr:colOff>
      <xdr:row>13</xdr:row>
      <xdr:rowOff>104775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123825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76200</xdr:rowOff>
    </xdr:from>
    <xdr:to>
      <xdr:col>1</xdr:col>
      <xdr:colOff>514350</xdr:colOff>
      <xdr:row>3</xdr:row>
      <xdr:rowOff>219075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6200"/>
          <a:ext cx="1095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666750</xdr:colOff>
      <xdr:row>0</xdr:row>
      <xdr:rowOff>66675</xdr:rowOff>
    </xdr:from>
    <xdr:to>
      <xdr:col>8</xdr:col>
      <xdr:colOff>638175</xdr:colOff>
      <xdr:row>2</xdr:row>
      <xdr:rowOff>390525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82900" y="66675"/>
          <a:ext cx="13716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app.orcafascio.com/banco/sinapi/composicoes/63ca8b25e64d1e32504a5992?estado_sinapi=SP" TargetMode="External" /><Relationship Id="rId2" Type="http://schemas.openxmlformats.org/officeDocument/2006/relationships/hyperlink" Target="https://app.orcafascio.com/banco/sinapi/composicoes/63ca8b25e64d1e32504a5992?estado_sinapi=SP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zoomScale="90" zoomScaleNormal="90" zoomScalePageLayoutView="0" workbookViewId="0" topLeftCell="A1">
      <selection activeCell="G9" sqref="G9"/>
    </sheetView>
  </sheetViews>
  <sheetFormatPr defaultColWidth="9.140625" defaultRowHeight="12.75"/>
  <cols>
    <col min="1" max="1" width="6.7109375" style="0" customWidth="1"/>
    <col min="2" max="2" width="58.421875" style="0" customWidth="1"/>
    <col min="3" max="3" width="18.8515625" style="0" customWidth="1"/>
    <col min="4" max="4" width="11.00390625" style="0" customWidth="1"/>
    <col min="5" max="5" width="23.140625" style="0" customWidth="1"/>
    <col min="6" max="6" width="3.28125" style="261" customWidth="1"/>
    <col min="7" max="7" width="25.00390625" style="0" customWidth="1"/>
    <col min="8" max="9" width="22.140625" style="0" customWidth="1"/>
    <col min="10" max="10" width="18.7109375" style="0" customWidth="1"/>
    <col min="11" max="11" width="13.8515625" style="0" customWidth="1"/>
    <col min="12" max="12" width="13.8515625" style="65" customWidth="1"/>
    <col min="13" max="13" width="15.28125" style="65" customWidth="1"/>
    <col min="14" max="14" width="15.28125" style="0" customWidth="1"/>
  </cols>
  <sheetData>
    <row r="1" spans="1:10" s="1" customFormat="1" ht="37.5" customHeight="1">
      <c r="A1" s="289" t="s">
        <v>90</v>
      </c>
      <c r="B1" s="290"/>
      <c r="C1" s="291" t="s">
        <v>91</v>
      </c>
      <c r="D1" s="292"/>
      <c r="E1" s="292"/>
      <c r="F1" s="292"/>
      <c r="G1" s="292"/>
      <c r="H1" s="292"/>
      <c r="I1" s="292"/>
      <c r="J1" s="296"/>
    </row>
    <row r="2" spans="1:10" s="1" customFormat="1" ht="25.5" customHeight="1">
      <c r="A2" s="274" t="s">
        <v>92</v>
      </c>
      <c r="B2" s="275"/>
      <c r="C2" s="122" t="s">
        <v>0</v>
      </c>
      <c r="D2" s="302" t="s">
        <v>1</v>
      </c>
      <c r="E2" s="303"/>
      <c r="F2" s="303"/>
      <c r="G2" s="303"/>
      <c r="H2" s="303"/>
      <c r="I2" s="304"/>
      <c r="J2" s="297"/>
    </row>
    <row r="3" spans="1:10" s="1" customFormat="1" ht="36" customHeight="1" thickBot="1">
      <c r="A3" s="305" t="s">
        <v>2</v>
      </c>
      <c r="B3" s="306"/>
      <c r="C3" s="123" t="s">
        <v>3</v>
      </c>
      <c r="D3" s="307" t="s">
        <v>227</v>
      </c>
      <c r="E3" s="308"/>
      <c r="F3" s="308"/>
      <c r="G3" s="308"/>
      <c r="H3" s="308"/>
      <c r="I3" s="309"/>
      <c r="J3" s="298"/>
    </row>
    <row r="4" spans="1:10" s="1" customFormat="1" ht="20.25" customHeight="1" thickBot="1">
      <c r="A4" s="124"/>
      <c r="C4" s="125"/>
      <c r="D4" s="125"/>
      <c r="E4" s="125"/>
      <c r="F4" s="246"/>
      <c r="G4" s="125"/>
      <c r="J4" s="126"/>
    </row>
    <row r="5" spans="1:10" s="3" customFormat="1" ht="52.5" customHeight="1" thickBot="1" thickTop="1">
      <c r="A5" s="127"/>
      <c r="B5" s="128"/>
      <c r="C5" s="129"/>
      <c r="D5" s="130"/>
      <c r="E5" s="281" t="s">
        <v>93</v>
      </c>
      <c r="F5" s="281"/>
      <c r="G5" s="282"/>
      <c r="H5" s="293" t="s">
        <v>307</v>
      </c>
      <c r="I5" s="294"/>
      <c r="J5" s="295"/>
    </row>
    <row r="6" spans="1:10" s="3" customFormat="1" ht="15.75" customHeight="1" thickBot="1">
      <c r="A6" s="277" t="s">
        <v>4</v>
      </c>
      <c r="B6" s="277" t="s">
        <v>5</v>
      </c>
      <c r="C6" s="279" t="s">
        <v>6</v>
      </c>
      <c r="D6" s="277" t="s">
        <v>7</v>
      </c>
      <c r="E6" s="310" t="s">
        <v>273</v>
      </c>
      <c r="F6" s="311"/>
      <c r="G6" s="277" t="s">
        <v>8</v>
      </c>
      <c r="H6" s="299" t="s">
        <v>9</v>
      </c>
      <c r="I6" s="300"/>
      <c r="J6" s="301"/>
    </row>
    <row r="7" spans="1:10" s="3" customFormat="1" ht="45.75" customHeight="1" thickBot="1">
      <c r="A7" s="278"/>
      <c r="B7" s="278"/>
      <c r="C7" s="280"/>
      <c r="D7" s="278"/>
      <c r="E7" s="312"/>
      <c r="F7" s="313"/>
      <c r="G7" s="278"/>
      <c r="H7" s="131" t="s">
        <v>10</v>
      </c>
      <c r="I7" s="131" t="s">
        <v>81</v>
      </c>
      <c r="J7" s="4" t="s">
        <v>11</v>
      </c>
    </row>
    <row r="8" spans="1:10" ht="19.5" customHeight="1">
      <c r="A8" s="74" t="s">
        <v>12</v>
      </c>
      <c r="B8" s="121" t="s">
        <v>179</v>
      </c>
      <c r="C8" s="75"/>
      <c r="D8" s="76"/>
      <c r="E8" s="263"/>
      <c r="F8" s="264"/>
      <c r="G8" s="77"/>
      <c r="H8" s="76"/>
      <c r="I8" s="76"/>
      <c r="J8" s="5"/>
    </row>
    <row r="9" spans="1:10" ht="29.25" customHeight="1">
      <c r="A9" s="78" t="s">
        <v>13</v>
      </c>
      <c r="B9" s="101" t="s">
        <v>300</v>
      </c>
      <c r="C9" s="117" t="s">
        <v>84</v>
      </c>
      <c r="D9" s="79">
        <v>1</v>
      </c>
      <c r="E9" s="238">
        <v>0</v>
      </c>
      <c r="F9" s="265"/>
      <c r="G9" s="63">
        <f>ROUND(E9*D9,2)</f>
        <v>0</v>
      </c>
      <c r="H9" s="116">
        <v>18889.4</v>
      </c>
      <c r="I9" s="66">
        <f>G9-H9</f>
        <v>-18889.4</v>
      </c>
      <c r="J9" s="5"/>
    </row>
    <row r="10" spans="1:10" ht="31.5" customHeight="1">
      <c r="A10" s="7" t="s">
        <v>14</v>
      </c>
      <c r="B10" s="101" t="s">
        <v>301</v>
      </c>
      <c r="C10" s="8" t="s">
        <v>15</v>
      </c>
      <c r="D10" s="62">
        <v>24</v>
      </c>
      <c r="E10" s="234">
        <v>0</v>
      </c>
      <c r="F10" s="247"/>
      <c r="G10" s="63">
        <f>ROUND(E10*D10,2)</f>
        <v>0</v>
      </c>
      <c r="H10" s="116">
        <v>7490.78</v>
      </c>
      <c r="I10" s="66">
        <f>G10-H10</f>
        <v>-7490.78</v>
      </c>
      <c r="J10" s="6"/>
    </row>
    <row r="11" spans="1:10" ht="20.25" customHeight="1">
      <c r="A11" s="80"/>
      <c r="B11" s="73"/>
      <c r="C11" s="8"/>
      <c r="D11" s="62"/>
      <c r="E11" s="235" t="s">
        <v>16</v>
      </c>
      <c r="F11" s="248"/>
      <c r="G11" s="81">
        <f>SUM(G9:G10)</f>
        <v>0</v>
      </c>
      <c r="H11" s="81">
        <f>SUM(H9:H10)</f>
        <v>26380.18</v>
      </c>
      <c r="I11" s="81">
        <f>SUM(I9:I10)</f>
        <v>-26380.18</v>
      </c>
      <c r="J11" s="6"/>
    </row>
    <row r="12" spans="1:10" ht="14.25">
      <c r="A12" s="80" t="s">
        <v>17</v>
      </c>
      <c r="B12" s="82" t="s">
        <v>18</v>
      </c>
      <c r="C12" s="8"/>
      <c r="D12" s="62"/>
      <c r="E12" s="235"/>
      <c r="F12" s="248"/>
      <c r="G12" s="83"/>
      <c r="H12" s="66"/>
      <c r="I12" s="66"/>
      <c r="J12" s="6"/>
    </row>
    <row r="13" spans="1:11" ht="20.25" customHeight="1">
      <c r="A13" s="7" t="s">
        <v>19</v>
      </c>
      <c r="B13" s="101" t="s">
        <v>172</v>
      </c>
      <c r="C13" s="8" t="s">
        <v>20</v>
      </c>
      <c r="D13" s="62">
        <v>4889.14</v>
      </c>
      <c r="E13" s="234">
        <v>0</v>
      </c>
      <c r="F13" s="247"/>
      <c r="G13" s="63">
        <f>ROUND(E13*D13,2)</f>
        <v>0</v>
      </c>
      <c r="H13" s="116">
        <v>5727.63</v>
      </c>
      <c r="I13" s="66">
        <f>G13-H13</f>
        <v>-5727.63</v>
      </c>
      <c r="J13" s="6"/>
      <c r="K13" s="64"/>
    </row>
    <row r="14" spans="1:10" ht="21.75" customHeight="1">
      <c r="A14" s="7" t="s">
        <v>21</v>
      </c>
      <c r="B14" s="101" t="s">
        <v>282</v>
      </c>
      <c r="C14" s="8" t="s">
        <v>20</v>
      </c>
      <c r="D14" s="62">
        <v>4889.14</v>
      </c>
      <c r="E14" s="234">
        <v>0</v>
      </c>
      <c r="F14" s="247"/>
      <c r="G14" s="63">
        <f>ROUND(E14*D14,2)</f>
        <v>0</v>
      </c>
      <c r="H14" s="116">
        <v>9025.35</v>
      </c>
      <c r="I14" s="66">
        <f>G14-H14</f>
        <v>-9025.35</v>
      </c>
      <c r="J14" s="6"/>
    </row>
    <row r="15" spans="1:10" ht="47.25" customHeight="1">
      <c r="A15" s="7" t="s">
        <v>22</v>
      </c>
      <c r="B15" s="101" t="s">
        <v>254</v>
      </c>
      <c r="C15" s="8" t="s">
        <v>253</v>
      </c>
      <c r="D15" s="62">
        <v>196</v>
      </c>
      <c r="E15" s="238">
        <v>0</v>
      </c>
      <c r="F15" s="251"/>
      <c r="G15" s="63">
        <f>ROUND(E15*D15,2)</f>
        <v>0</v>
      </c>
      <c r="H15" s="116">
        <v>10819.59</v>
      </c>
      <c r="I15" s="66">
        <f>G15-H15</f>
        <v>-10819.59</v>
      </c>
      <c r="J15" s="6"/>
    </row>
    <row r="16" spans="1:10" ht="43.5" customHeight="1">
      <c r="A16" s="7" t="s">
        <v>281</v>
      </c>
      <c r="B16" s="101" t="s">
        <v>256</v>
      </c>
      <c r="C16" s="8" t="s">
        <v>253</v>
      </c>
      <c r="D16" s="62">
        <v>196</v>
      </c>
      <c r="E16" s="238">
        <v>0</v>
      </c>
      <c r="F16" s="251"/>
      <c r="G16" s="63">
        <f>ROUND(E16*D16,2)</f>
        <v>0</v>
      </c>
      <c r="H16" s="116">
        <v>2016.84</v>
      </c>
      <c r="I16" s="66">
        <f>G16-H16</f>
        <v>-2016.84</v>
      </c>
      <c r="J16" s="6"/>
    </row>
    <row r="17" spans="1:10" ht="21.75" customHeight="1">
      <c r="A17" s="7"/>
      <c r="B17" s="73"/>
      <c r="C17" s="8"/>
      <c r="D17" s="62"/>
      <c r="E17" s="236" t="s">
        <v>24</v>
      </c>
      <c r="F17" s="249"/>
      <c r="G17" s="81">
        <f>SUM(G13:G16)</f>
        <v>0</v>
      </c>
      <c r="H17" s="81">
        <f>SUM(H13:H16)</f>
        <v>27589.41</v>
      </c>
      <c r="I17" s="81">
        <f>SUM(I13:I16)</f>
        <v>-27589.41</v>
      </c>
      <c r="J17" s="6"/>
    </row>
    <row r="18" spans="1:10" ht="14.25">
      <c r="A18" s="80" t="s">
        <v>25</v>
      </c>
      <c r="B18" s="82" t="s">
        <v>26</v>
      </c>
      <c r="C18" s="8"/>
      <c r="D18" s="62"/>
      <c r="E18" s="237"/>
      <c r="F18" s="250"/>
      <c r="G18" s="84"/>
      <c r="H18" s="66"/>
      <c r="I18" s="66"/>
      <c r="J18" s="6"/>
    </row>
    <row r="19" spans="1:10" ht="21.75" customHeight="1">
      <c r="A19" s="7" t="s">
        <v>27</v>
      </c>
      <c r="B19" s="101" t="s">
        <v>131</v>
      </c>
      <c r="C19" s="8" t="s">
        <v>20</v>
      </c>
      <c r="D19" s="62">
        <v>200</v>
      </c>
      <c r="E19" s="234">
        <v>0</v>
      </c>
      <c r="F19" s="247"/>
      <c r="G19" s="63">
        <f>ROUND(E19*D19,2)</f>
        <v>0</v>
      </c>
      <c r="H19" s="116">
        <v>418.6</v>
      </c>
      <c r="I19" s="66">
        <f>G19-H19</f>
        <v>-418.6</v>
      </c>
      <c r="J19" s="6"/>
    </row>
    <row r="20" spans="1:10" ht="22.5" customHeight="1">
      <c r="A20" s="7" t="s">
        <v>28</v>
      </c>
      <c r="B20" s="101" t="s">
        <v>170</v>
      </c>
      <c r="C20" s="8" t="s">
        <v>20</v>
      </c>
      <c r="D20" s="62">
        <v>50</v>
      </c>
      <c r="E20" s="234">
        <v>0</v>
      </c>
      <c r="F20" s="247"/>
      <c r="G20" s="63">
        <f>ROUND(E20*D20,2)</f>
        <v>0</v>
      </c>
      <c r="H20" s="116">
        <v>87.5</v>
      </c>
      <c r="I20" s="66">
        <f>G20-H20</f>
        <v>-87.5</v>
      </c>
      <c r="J20" s="6"/>
    </row>
    <row r="21" spans="1:10" ht="18.75" customHeight="1">
      <c r="A21" s="80"/>
      <c r="B21" s="73"/>
      <c r="C21" s="8"/>
      <c r="D21" s="62"/>
      <c r="E21" s="235" t="s">
        <v>29</v>
      </c>
      <c r="F21" s="248"/>
      <c r="G21" s="81">
        <f>SUM(G19:G20)</f>
        <v>0</v>
      </c>
      <c r="H21" s="81">
        <f>SUM(H19:H20)</f>
        <v>506.1</v>
      </c>
      <c r="I21" s="81">
        <f>SUM(I19:I20)</f>
        <v>-506.1</v>
      </c>
      <c r="J21" s="6"/>
    </row>
    <row r="22" spans="1:10" ht="18.75" customHeight="1">
      <c r="A22" s="80" t="s">
        <v>30</v>
      </c>
      <c r="B22" s="82" t="s">
        <v>31</v>
      </c>
      <c r="C22" s="8"/>
      <c r="D22" s="62"/>
      <c r="E22" s="237"/>
      <c r="F22" s="250"/>
      <c r="G22" s="84"/>
      <c r="H22" s="66"/>
      <c r="I22" s="66"/>
      <c r="J22" s="6"/>
    </row>
    <row r="23" spans="1:10" ht="30.75" customHeight="1">
      <c r="A23" s="7" t="s">
        <v>32</v>
      </c>
      <c r="B23" s="101" t="s">
        <v>169</v>
      </c>
      <c r="C23" s="8" t="s">
        <v>15</v>
      </c>
      <c r="D23" s="62">
        <v>177.75</v>
      </c>
      <c r="E23" s="234">
        <v>0</v>
      </c>
      <c r="F23" s="247"/>
      <c r="G23" s="63">
        <f>ROUND(E23*D23,2)</f>
        <v>0</v>
      </c>
      <c r="H23" s="116">
        <v>1219.37</v>
      </c>
      <c r="I23" s="66">
        <f>G23-H23</f>
        <v>-1219.37</v>
      </c>
      <c r="J23" s="6"/>
    </row>
    <row r="24" spans="1:10" ht="48" customHeight="1">
      <c r="A24" s="7" t="s">
        <v>33</v>
      </c>
      <c r="B24" s="101" t="s">
        <v>223</v>
      </c>
      <c r="C24" s="8" t="s">
        <v>44</v>
      </c>
      <c r="D24" s="120">
        <v>133.31</v>
      </c>
      <c r="E24" s="234">
        <v>0</v>
      </c>
      <c r="F24" s="247"/>
      <c r="G24" s="63">
        <f>ROUND(E24*D24,2)</f>
        <v>0</v>
      </c>
      <c r="H24" s="116">
        <v>271.55</v>
      </c>
      <c r="I24" s="66">
        <f>G24-H24</f>
        <v>-271.55</v>
      </c>
      <c r="J24" s="6"/>
    </row>
    <row r="25" spans="1:10" ht="87" customHeight="1">
      <c r="A25" s="7" t="s">
        <v>34</v>
      </c>
      <c r="B25" s="101" t="s">
        <v>168</v>
      </c>
      <c r="C25" s="8" t="s">
        <v>35</v>
      </c>
      <c r="D25" s="120">
        <v>195.52</v>
      </c>
      <c r="E25" s="234">
        <v>0</v>
      </c>
      <c r="F25" s="247"/>
      <c r="G25" s="63">
        <f>ROUND(E25*D25,2)</f>
        <v>0</v>
      </c>
      <c r="H25" s="116">
        <v>2926.15</v>
      </c>
      <c r="I25" s="66">
        <f>G25-H25</f>
        <v>-2926.15</v>
      </c>
      <c r="J25" s="6"/>
    </row>
    <row r="26" spans="1:10" ht="39.75" customHeight="1">
      <c r="A26" s="7" t="s">
        <v>280</v>
      </c>
      <c r="B26" s="101" t="s">
        <v>250</v>
      </c>
      <c r="C26" s="8" t="s">
        <v>35</v>
      </c>
      <c r="D26" s="120">
        <v>80.1</v>
      </c>
      <c r="E26" s="234">
        <v>0</v>
      </c>
      <c r="F26" s="247"/>
      <c r="G26" s="63">
        <f>ROUND(E26*D26,2)</f>
        <v>0</v>
      </c>
      <c r="H26" s="116">
        <v>7289.1</v>
      </c>
      <c r="I26" s="66">
        <f>G26-H26</f>
        <v>-7289.1</v>
      </c>
      <c r="J26" s="6"/>
    </row>
    <row r="27" spans="1:10" ht="24" customHeight="1">
      <c r="A27" s="7"/>
      <c r="B27" s="73"/>
      <c r="C27" s="8"/>
      <c r="D27" s="62"/>
      <c r="E27" s="236" t="s">
        <v>36</v>
      </c>
      <c r="F27" s="249"/>
      <c r="G27" s="81">
        <f>SUM(G23:G26)</f>
        <v>0</v>
      </c>
      <c r="H27" s="81">
        <f>SUM(H23:H26)</f>
        <v>11706.17</v>
      </c>
      <c r="I27" s="81">
        <f>SUM(I23:I26)</f>
        <v>-11706.17</v>
      </c>
      <c r="J27" s="6"/>
    </row>
    <row r="28" spans="1:10" ht="23.25" customHeight="1">
      <c r="A28" s="80" t="s">
        <v>37</v>
      </c>
      <c r="B28" s="82" t="s">
        <v>40</v>
      </c>
      <c r="C28" s="8"/>
      <c r="D28" s="62"/>
      <c r="E28" s="237"/>
      <c r="F28" s="250"/>
      <c r="G28" s="84"/>
      <c r="H28" s="66"/>
      <c r="I28" s="66"/>
      <c r="J28" s="6"/>
    </row>
    <row r="29" spans="1:10" ht="88.5" customHeight="1">
      <c r="A29" s="7" t="s">
        <v>38</v>
      </c>
      <c r="B29" s="101" t="s">
        <v>304</v>
      </c>
      <c r="C29" s="8" t="s">
        <v>35</v>
      </c>
      <c r="D29" s="62">
        <v>275.62</v>
      </c>
      <c r="E29" s="234">
        <v>0</v>
      </c>
      <c r="F29" s="247"/>
      <c r="G29" s="63">
        <f>ROUND(E29*D29,2)</f>
        <v>0</v>
      </c>
      <c r="H29" s="116">
        <v>5297.97</v>
      </c>
      <c r="I29" s="66">
        <f>G29-H29</f>
        <v>-5297.97</v>
      </c>
      <c r="J29" s="6"/>
    </row>
    <row r="30" spans="1:10" ht="23.25" customHeight="1">
      <c r="A30" s="80"/>
      <c r="B30" s="73"/>
      <c r="C30" s="8"/>
      <c r="D30" s="62"/>
      <c r="E30" s="236" t="s">
        <v>97</v>
      </c>
      <c r="F30" s="249"/>
      <c r="G30" s="81">
        <f>SUM(G29)</f>
        <v>0</v>
      </c>
      <c r="H30" s="81">
        <f>ROUND(H29,2)</f>
        <v>5297.97</v>
      </c>
      <c r="I30" s="81">
        <f>SUM(I29)</f>
        <v>-5297.97</v>
      </c>
      <c r="J30" s="6"/>
    </row>
    <row r="31" spans="1:10" ht="19.5" customHeight="1">
      <c r="A31" s="80" t="s">
        <v>39</v>
      </c>
      <c r="B31" s="82" t="s">
        <v>47</v>
      </c>
      <c r="C31" s="8"/>
      <c r="D31" s="62"/>
      <c r="E31" s="235"/>
      <c r="F31" s="248"/>
      <c r="G31" s="84"/>
      <c r="H31" s="66"/>
      <c r="I31" s="66"/>
      <c r="J31" s="6"/>
    </row>
    <row r="32" spans="1:10" ht="24" customHeight="1">
      <c r="A32" s="7" t="s">
        <v>41</v>
      </c>
      <c r="B32" s="100" t="s">
        <v>167</v>
      </c>
      <c r="C32" s="71" t="s">
        <v>20</v>
      </c>
      <c r="D32" s="62">
        <v>78</v>
      </c>
      <c r="E32" s="238">
        <v>0</v>
      </c>
      <c r="F32" s="251"/>
      <c r="G32" s="63">
        <f>ROUND(E32*D32,2)</f>
        <v>0</v>
      </c>
      <c r="H32" s="116">
        <v>5173.35</v>
      </c>
      <c r="I32" s="66">
        <f>G32-H32</f>
        <v>-5173.35</v>
      </c>
      <c r="J32" s="6"/>
    </row>
    <row r="33" spans="1:10" ht="14.25">
      <c r="A33" s="7"/>
      <c r="B33" s="73"/>
      <c r="C33" s="8"/>
      <c r="D33" s="62"/>
      <c r="E33" s="235" t="s">
        <v>98</v>
      </c>
      <c r="F33" s="248"/>
      <c r="G33" s="81">
        <f>SUM(G32)</f>
        <v>0</v>
      </c>
      <c r="H33" s="81">
        <f>ROUND(H32,2)</f>
        <v>5173.35</v>
      </c>
      <c r="I33" s="81">
        <f>SUM(I32)</f>
        <v>-5173.35</v>
      </c>
      <c r="J33" s="6"/>
    </row>
    <row r="34" spans="1:10" ht="22.5" customHeight="1">
      <c r="A34" s="80" t="s">
        <v>42</v>
      </c>
      <c r="B34" s="82" t="s">
        <v>99</v>
      </c>
      <c r="C34" s="8"/>
      <c r="D34" s="62"/>
      <c r="E34" s="239"/>
      <c r="F34" s="252"/>
      <c r="G34" s="84"/>
      <c r="H34" s="66"/>
      <c r="I34" s="66"/>
      <c r="J34" s="6"/>
    </row>
    <row r="35" spans="1:10" ht="51.75" customHeight="1">
      <c r="A35" s="104" t="s">
        <v>43</v>
      </c>
      <c r="B35" s="101" t="s">
        <v>283</v>
      </c>
      <c r="C35" s="71" t="s">
        <v>20</v>
      </c>
      <c r="D35" s="72">
        <v>5036</v>
      </c>
      <c r="E35" s="240">
        <v>0</v>
      </c>
      <c r="F35" s="241"/>
      <c r="G35" s="63">
        <f aca="true" t="shared" si="0" ref="G35:G70">ROUND(E35*D35,2)</f>
        <v>0</v>
      </c>
      <c r="H35" s="116">
        <f>ROUND(G35*0.71,2)</f>
        <v>0</v>
      </c>
      <c r="I35" s="66">
        <f aca="true" t="shared" si="1" ref="I35:I67">G35-H35</f>
        <v>0</v>
      </c>
      <c r="J35" s="6"/>
    </row>
    <row r="36" spans="1:10" ht="63" customHeight="1">
      <c r="A36" s="104" t="s">
        <v>96</v>
      </c>
      <c r="B36" s="101" t="s">
        <v>181</v>
      </c>
      <c r="C36" s="71" t="s">
        <v>20</v>
      </c>
      <c r="D36" s="72">
        <v>4889.14</v>
      </c>
      <c r="E36" s="240">
        <v>0</v>
      </c>
      <c r="F36" s="253"/>
      <c r="G36" s="63">
        <f t="shared" si="0"/>
        <v>0</v>
      </c>
      <c r="H36" s="116">
        <v>416554.73</v>
      </c>
      <c r="I36" s="66">
        <f t="shared" si="1"/>
        <v>-416554.73</v>
      </c>
      <c r="J36" s="6"/>
    </row>
    <row r="37" spans="1:10" ht="23.25" customHeight="1">
      <c r="A37" s="104" t="s">
        <v>100</v>
      </c>
      <c r="B37" s="101" t="s">
        <v>171</v>
      </c>
      <c r="C37" s="8" t="s">
        <v>20</v>
      </c>
      <c r="D37" s="72">
        <v>14</v>
      </c>
      <c r="E37" s="240">
        <v>0</v>
      </c>
      <c r="F37" s="241" t="s">
        <v>272</v>
      </c>
      <c r="G37" s="63">
        <f t="shared" si="0"/>
        <v>0</v>
      </c>
      <c r="H37" s="116">
        <v>202.58</v>
      </c>
      <c r="I37" s="66">
        <f t="shared" si="1"/>
        <v>-202.58</v>
      </c>
      <c r="J37" s="6"/>
    </row>
    <row r="38" spans="1:10" ht="24.75" customHeight="1">
      <c r="A38" s="104" t="s">
        <v>132</v>
      </c>
      <c r="B38" s="101" t="s">
        <v>155</v>
      </c>
      <c r="C38" s="8" t="s">
        <v>23</v>
      </c>
      <c r="D38" s="72">
        <v>19</v>
      </c>
      <c r="E38" s="240">
        <v>0</v>
      </c>
      <c r="F38" s="241" t="s">
        <v>272</v>
      </c>
      <c r="G38" s="63">
        <f t="shared" si="0"/>
        <v>0</v>
      </c>
      <c r="H38" s="116">
        <v>4224.8</v>
      </c>
      <c r="I38" s="66">
        <f t="shared" si="1"/>
        <v>-4224.8</v>
      </c>
      <c r="J38" s="6"/>
    </row>
    <row r="39" spans="1:10" ht="32.25" customHeight="1">
      <c r="A39" s="104" t="s">
        <v>133</v>
      </c>
      <c r="B39" s="101" t="s">
        <v>235</v>
      </c>
      <c r="C39" s="8" t="s">
        <v>23</v>
      </c>
      <c r="D39" s="72">
        <v>33</v>
      </c>
      <c r="E39" s="240">
        <v>0</v>
      </c>
      <c r="F39" s="241" t="s">
        <v>272</v>
      </c>
      <c r="G39" s="63">
        <f t="shared" si="0"/>
        <v>0</v>
      </c>
      <c r="H39" s="116">
        <v>1969.06</v>
      </c>
      <c r="I39" s="66">
        <f t="shared" si="1"/>
        <v>-1969.06</v>
      </c>
      <c r="J39" s="6"/>
    </row>
    <row r="40" spans="1:10" ht="33" customHeight="1">
      <c r="A40" s="104" t="s">
        <v>134</v>
      </c>
      <c r="B40" s="101" t="s">
        <v>236</v>
      </c>
      <c r="C40" s="8" t="s">
        <v>23</v>
      </c>
      <c r="D40" s="72">
        <v>7</v>
      </c>
      <c r="E40" s="240">
        <v>0</v>
      </c>
      <c r="F40" s="241" t="s">
        <v>272</v>
      </c>
      <c r="G40" s="63">
        <f t="shared" si="0"/>
        <v>0</v>
      </c>
      <c r="H40" s="116">
        <v>2236.25</v>
      </c>
      <c r="I40" s="66">
        <f t="shared" si="1"/>
        <v>-2236.25</v>
      </c>
      <c r="J40" s="6"/>
    </row>
    <row r="41" spans="1:10" ht="34.5" customHeight="1">
      <c r="A41" s="104" t="s">
        <v>135</v>
      </c>
      <c r="B41" s="101" t="s">
        <v>152</v>
      </c>
      <c r="C41" s="8" t="s">
        <v>23</v>
      </c>
      <c r="D41" s="72">
        <v>36</v>
      </c>
      <c r="E41" s="240">
        <v>0</v>
      </c>
      <c r="F41" s="241" t="s">
        <v>272</v>
      </c>
      <c r="G41" s="63">
        <f t="shared" si="0"/>
        <v>0</v>
      </c>
      <c r="H41" s="116">
        <v>1037.22</v>
      </c>
      <c r="I41" s="66">
        <f>G41-H41</f>
        <v>-1037.22</v>
      </c>
      <c r="J41" s="6"/>
    </row>
    <row r="42" spans="1:10" ht="33" customHeight="1">
      <c r="A42" s="104" t="s">
        <v>136</v>
      </c>
      <c r="B42" s="101" t="s">
        <v>153</v>
      </c>
      <c r="C42" s="8" t="s">
        <v>23</v>
      </c>
      <c r="D42" s="72">
        <v>36</v>
      </c>
      <c r="E42" s="240">
        <v>0</v>
      </c>
      <c r="F42" s="241" t="s">
        <v>272</v>
      </c>
      <c r="G42" s="63">
        <f t="shared" si="0"/>
        <v>0</v>
      </c>
      <c r="H42" s="116">
        <v>1792.01</v>
      </c>
      <c r="I42" s="66">
        <f t="shared" si="1"/>
        <v>-1792.01</v>
      </c>
      <c r="J42" s="6"/>
    </row>
    <row r="43" spans="1:10" ht="34.5" customHeight="1">
      <c r="A43" s="104" t="s">
        <v>137</v>
      </c>
      <c r="B43" s="101" t="s">
        <v>230</v>
      </c>
      <c r="C43" s="8" t="s">
        <v>23</v>
      </c>
      <c r="D43" s="72">
        <v>39</v>
      </c>
      <c r="E43" s="240">
        <v>0</v>
      </c>
      <c r="F43" s="241" t="s">
        <v>272</v>
      </c>
      <c r="G43" s="63">
        <f t="shared" si="0"/>
        <v>0</v>
      </c>
      <c r="H43" s="116">
        <v>9329.31</v>
      </c>
      <c r="I43" s="66">
        <f t="shared" si="1"/>
        <v>-9329.31</v>
      </c>
      <c r="J43" s="6"/>
    </row>
    <row r="44" spans="1:10" ht="33.75" customHeight="1">
      <c r="A44" s="104" t="s">
        <v>138</v>
      </c>
      <c r="B44" s="101" t="s">
        <v>231</v>
      </c>
      <c r="C44" s="8" t="s">
        <v>23</v>
      </c>
      <c r="D44" s="72">
        <v>14</v>
      </c>
      <c r="E44" s="240">
        <v>0</v>
      </c>
      <c r="F44" s="241" t="s">
        <v>272</v>
      </c>
      <c r="G44" s="63">
        <f t="shared" si="0"/>
        <v>0</v>
      </c>
      <c r="H44" s="116">
        <v>3397.99</v>
      </c>
      <c r="I44" s="66">
        <f t="shared" si="1"/>
        <v>-3397.99</v>
      </c>
      <c r="J44" s="6"/>
    </row>
    <row r="45" spans="1:10" ht="30.75" customHeight="1">
      <c r="A45" s="104" t="s">
        <v>139</v>
      </c>
      <c r="B45" s="101" t="s">
        <v>232</v>
      </c>
      <c r="C45" s="8" t="s">
        <v>23</v>
      </c>
      <c r="D45" s="72">
        <v>7</v>
      </c>
      <c r="E45" s="240">
        <v>0</v>
      </c>
      <c r="F45" s="241" t="s">
        <v>272</v>
      </c>
      <c r="G45" s="63">
        <f t="shared" si="0"/>
        <v>0</v>
      </c>
      <c r="H45" s="116">
        <v>948.97</v>
      </c>
      <c r="I45" s="66">
        <f>G45-H45</f>
        <v>-948.97</v>
      </c>
      <c r="J45" s="6"/>
    </row>
    <row r="46" spans="1:10" ht="41.25" customHeight="1">
      <c r="A46" s="104" t="s">
        <v>140</v>
      </c>
      <c r="B46" s="101" t="s">
        <v>237</v>
      </c>
      <c r="C46" s="8" t="s">
        <v>23</v>
      </c>
      <c r="D46" s="72">
        <v>2</v>
      </c>
      <c r="E46" s="240">
        <v>0</v>
      </c>
      <c r="F46" s="241" t="s">
        <v>272</v>
      </c>
      <c r="G46" s="63">
        <f t="shared" si="0"/>
        <v>0</v>
      </c>
      <c r="H46" s="116">
        <v>631.97</v>
      </c>
      <c r="I46" s="66">
        <f>G46-H46</f>
        <v>-631.97</v>
      </c>
      <c r="J46" s="6"/>
    </row>
    <row r="47" spans="1:10" ht="41.25" customHeight="1">
      <c r="A47" s="104" t="s">
        <v>141</v>
      </c>
      <c r="B47" s="101" t="s">
        <v>238</v>
      </c>
      <c r="C47" s="8" t="s">
        <v>23</v>
      </c>
      <c r="D47" s="72">
        <v>2</v>
      </c>
      <c r="E47" s="240">
        <v>0</v>
      </c>
      <c r="F47" s="241" t="s">
        <v>272</v>
      </c>
      <c r="G47" s="63">
        <f t="shared" si="0"/>
        <v>0</v>
      </c>
      <c r="H47" s="116">
        <v>961.37</v>
      </c>
      <c r="I47" s="66">
        <f>G47-H47</f>
        <v>-961.37</v>
      </c>
      <c r="J47" s="6"/>
    </row>
    <row r="48" spans="1:10" ht="57" customHeight="1">
      <c r="A48" s="104" t="s">
        <v>142</v>
      </c>
      <c r="B48" s="101" t="s">
        <v>239</v>
      </c>
      <c r="C48" s="8" t="s">
        <v>23</v>
      </c>
      <c r="D48" s="72">
        <v>36</v>
      </c>
      <c r="E48" s="240">
        <v>0</v>
      </c>
      <c r="F48" s="241" t="s">
        <v>272</v>
      </c>
      <c r="G48" s="63">
        <f t="shared" si="0"/>
        <v>0</v>
      </c>
      <c r="H48" s="116">
        <v>14826.08</v>
      </c>
      <c r="I48" s="66">
        <f t="shared" si="1"/>
        <v>-14826.08</v>
      </c>
      <c r="J48" s="6"/>
    </row>
    <row r="49" spans="1:10" ht="33" customHeight="1">
      <c r="A49" s="104" t="s">
        <v>143</v>
      </c>
      <c r="B49" s="101" t="s">
        <v>255</v>
      </c>
      <c r="C49" s="8" t="s">
        <v>23</v>
      </c>
      <c r="D49" s="72">
        <v>36</v>
      </c>
      <c r="E49" s="240">
        <v>0</v>
      </c>
      <c r="F49" s="253"/>
      <c r="G49" s="63">
        <f>ROUND(E49*D49,2)</f>
        <v>0</v>
      </c>
      <c r="H49" s="116">
        <v>7480.13</v>
      </c>
      <c r="I49" s="66">
        <f>G49-H49</f>
        <v>-7480.13</v>
      </c>
      <c r="J49" s="6"/>
    </row>
    <row r="50" spans="1:10" ht="21" customHeight="1">
      <c r="A50" s="104" t="s">
        <v>144</v>
      </c>
      <c r="B50" s="101" t="s">
        <v>151</v>
      </c>
      <c r="C50" s="8" t="s">
        <v>23</v>
      </c>
      <c r="D50" s="72">
        <v>39</v>
      </c>
      <c r="E50" s="240">
        <v>0</v>
      </c>
      <c r="F50" s="262" t="s">
        <v>272</v>
      </c>
      <c r="G50" s="63">
        <f t="shared" si="0"/>
        <v>0</v>
      </c>
      <c r="H50" s="116">
        <v>16758.82</v>
      </c>
      <c r="I50" s="66">
        <f t="shared" si="1"/>
        <v>-16758.82</v>
      </c>
      <c r="J50" s="6"/>
    </row>
    <row r="51" spans="1:10" ht="23.25" customHeight="1">
      <c r="A51" s="104" t="s">
        <v>145</v>
      </c>
      <c r="B51" s="101" t="s">
        <v>150</v>
      </c>
      <c r="C51" s="8" t="s">
        <v>23</v>
      </c>
      <c r="D51" s="72">
        <v>14</v>
      </c>
      <c r="E51" s="240">
        <v>0</v>
      </c>
      <c r="F51" s="262" t="s">
        <v>272</v>
      </c>
      <c r="G51" s="63">
        <f t="shared" si="0"/>
        <v>0</v>
      </c>
      <c r="H51" s="116">
        <v>6471.64</v>
      </c>
      <c r="I51" s="66">
        <f t="shared" si="1"/>
        <v>-6471.64</v>
      </c>
      <c r="J51" s="6"/>
    </row>
    <row r="52" spans="1:10" ht="18.75" customHeight="1">
      <c r="A52" s="104" t="s">
        <v>146</v>
      </c>
      <c r="B52" s="101" t="s">
        <v>242</v>
      </c>
      <c r="C52" s="8" t="s">
        <v>23</v>
      </c>
      <c r="D52" s="72">
        <v>2</v>
      </c>
      <c r="E52" s="240">
        <v>0</v>
      </c>
      <c r="F52" s="262" t="s">
        <v>272</v>
      </c>
      <c r="G52" s="63">
        <f t="shared" si="0"/>
        <v>0</v>
      </c>
      <c r="H52" s="116">
        <v>1058.57</v>
      </c>
      <c r="I52" s="66">
        <f>G52-H52</f>
        <v>-1058.57</v>
      </c>
      <c r="J52" s="6"/>
    </row>
    <row r="53" spans="1:10" ht="21" customHeight="1">
      <c r="A53" s="104" t="s">
        <v>147</v>
      </c>
      <c r="B53" s="101" t="s">
        <v>243</v>
      </c>
      <c r="C53" s="8" t="s">
        <v>23</v>
      </c>
      <c r="D53" s="72">
        <v>2</v>
      </c>
      <c r="E53" s="240">
        <v>0</v>
      </c>
      <c r="F53" s="262" t="s">
        <v>272</v>
      </c>
      <c r="G53" s="63">
        <f t="shared" si="0"/>
        <v>0</v>
      </c>
      <c r="H53" s="116">
        <v>1575.93</v>
      </c>
      <c r="I53" s="66">
        <f>G53-H53</f>
        <v>-1575.93</v>
      </c>
      <c r="J53" s="6"/>
    </row>
    <row r="54" spans="1:10" ht="31.5" customHeight="1">
      <c r="A54" s="104" t="s">
        <v>148</v>
      </c>
      <c r="B54" s="101" t="s">
        <v>175</v>
      </c>
      <c r="C54" s="8" t="s">
        <v>23</v>
      </c>
      <c r="D54" s="72">
        <v>39</v>
      </c>
      <c r="E54" s="240">
        <v>0</v>
      </c>
      <c r="F54" s="262" t="s">
        <v>272</v>
      </c>
      <c r="G54" s="63">
        <f t="shared" si="0"/>
        <v>0</v>
      </c>
      <c r="H54" s="116">
        <v>2455.83</v>
      </c>
      <c r="I54" s="66">
        <f t="shared" si="1"/>
        <v>-2455.83</v>
      </c>
      <c r="J54" s="6"/>
    </row>
    <row r="55" spans="1:10" ht="21.75" customHeight="1">
      <c r="A55" s="104" t="s">
        <v>149</v>
      </c>
      <c r="B55" s="101" t="s">
        <v>166</v>
      </c>
      <c r="C55" s="8" t="s">
        <v>23</v>
      </c>
      <c r="D55" s="72">
        <v>10</v>
      </c>
      <c r="E55" s="240">
        <v>0</v>
      </c>
      <c r="F55" s="262" t="s">
        <v>272</v>
      </c>
      <c r="G55" s="63">
        <f t="shared" si="0"/>
        <v>0</v>
      </c>
      <c r="H55" s="116">
        <v>322.7</v>
      </c>
      <c r="I55" s="66">
        <f t="shared" si="1"/>
        <v>-322.7</v>
      </c>
      <c r="J55" s="6"/>
    </row>
    <row r="56" spans="1:10" ht="20.25" customHeight="1">
      <c r="A56" s="104" t="s">
        <v>182</v>
      </c>
      <c r="B56" s="101" t="s">
        <v>233</v>
      </c>
      <c r="C56" s="8" t="s">
        <v>23</v>
      </c>
      <c r="D56" s="72">
        <v>38</v>
      </c>
      <c r="E56" s="240">
        <v>0</v>
      </c>
      <c r="F56" s="262" t="s">
        <v>272</v>
      </c>
      <c r="G56" s="63">
        <f t="shared" si="0"/>
        <v>0</v>
      </c>
      <c r="H56" s="116">
        <v>2012.44</v>
      </c>
      <c r="I56" s="66">
        <f t="shared" si="1"/>
        <v>-2012.44</v>
      </c>
      <c r="J56" s="6"/>
    </row>
    <row r="57" spans="1:10" ht="20.25" customHeight="1">
      <c r="A57" s="104" t="s">
        <v>183</v>
      </c>
      <c r="B57" s="101" t="s">
        <v>154</v>
      </c>
      <c r="C57" s="8" t="s">
        <v>23</v>
      </c>
      <c r="D57" s="72">
        <v>5</v>
      </c>
      <c r="E57" s="240">
        <v>0</v>
      </c>
      <c r="F57" s="262" t="s">
        <v>272</v>
      </c>
      <c r="G57" s="63">
        <f t="shared" si="0"/>
        <v>0</v>
      </c>
      <c r="H57" s="116">
        <v>500.8</v>
      </c>
      <c r="I57" s="66">
        <f t="shared" si="1"/>
        <v>-500.8</v>
      </c>
      <c r="J57" s="6"/>
    </row>
    <row r="58" spans="1:10" ht="31.5" customHeight="1">
      <c r="A58" s="104" t="s">
        <v>184</v>
      </c>
      <c r="B58" s="101" t="s">
        <v>234</v>
      </c>
      <c r="C58" s="8" t="s">
        <v>23</v>
      </c>
      <c r="D58" s="72">
        <v>1</v>
      </c>
      <c r="E58" s="240">
        <v>0</v>
      </c>
      <c r="F58" s="262" t="s">
        <v>272</v>
      </c>
      <c r="G58" s="63">
        <f t="shared" si="0"/>
        <v>0</v>
      </c>
      <c r="H58" s="116">
        <v>77.49</v>
      </c>
      <c r="I58" s="66">
        <f t="shared" si="1"/>
        <v>-77.49</v>
      </c>
      <c r="J58" s="6"/>
    </row>
    <row r="59" spans="1:10" ht="48" customHeight="1">
      <c r="A59" s="104" t="s">
        <v>185</v>
      </c>
      <c r="B59" s="101" t="s">
        <v>240</v>
      </c>
      <c r="C59" s="8" t="s">
        <v>23</v>
      </c>
      <c r="D59" s="72">
        <v>1</v>
      </c>
      <c r="E59" s="240">
        <v>0</v>
      </c>
      <c r="F59" s="262" t="s">
        <v>272</v>
      </c>
      <c r="G59" s="63">
        <f t="shared" si="0"/>
        <v>0</v>
      </c>
      <c r="H59" s="116">
        <v>393.87</v>
      </c>
      <c r="I59" s="66">
        <f aca="true" t="shared" si="2" ref="I59:I65">G59-H59</f>
        <v>-393.87</v>
      </c>
      <c r="J59" s="6"/>
    </row>
    <row r="60" spans="1:10" ht="48" customHeight="1">
      <c r="A60" s="104" t="s">
        <v>186</v>
      </c>
      <c r="B60" s="101" t="s">
        <v>241</v>
      </c>
      <c r="C60" s="8" t="s">
        <v>23</v>
      </c>
      <c r="D60" s="72">
        <v>1</v>
      </c>
      <c r="E60" s="240">
        <v>0</v>
      </c>
      <c r="F60" s="262" t="s">
        <v>272</v>
      </c>
      <c r="G60" s="63">
        <f t="shared" si="0"/>
        <v>0</v>
      </c>
      <c r="H60" s="116">
        <v>712.51</v>
      </c>
      <c r="I60" s="66">
        <f t="shared" si="2"/>
        <v>-712.51</v>
      </c>
      <c r="J60" s="6"/>
    </row>
    <row r="61" spans="1:10" ht="30.75" customHeight="1">
      <c r="A61" s="104" t="s">
        <v>187</v>
      </c>
      <c r="B61" s="101" t="s">
        <v>244</v>
      </c>
      <c r="C61" s="8" t="s">
        <v>23</v>
      </c>
      <c r="D61" s="72">
        <f>34+15</f>
        <v>49</v>
      </c>
      <c r="E61" s="240">
        <v>0</v>
      </c>
      <c r="F61" s="262" t="s">
        <v>272</v>
      </c>
      <c r="G61" s="63">
        <f t="shared" si="0"/>
        <v>0</v>
      </c>
      <c r="H61" s="116">
        <v>1617.39</v>
      </c>
      <c r="I61" s="66">
        <f t="shared" si="2"/>
        <v>-1617.39</v>
      </c>
      <c r="J61" s="6"/>
    </row>
    <row r="62" spans="1:10" ht="53.25" customHeight="1">
      <c r="A62" s="104" t="s">
        <v>188</v>
      </c>
      <c r="B62" s="101" t="s">
        <v>259</v>
      </c>
      <c r="C62" s="8" t="s">
        <v>120</v>
      </c>
      <c r="D62" s="72">
        <v>7</v>
      </c>
      <c r="E62" s="240">
        <v>0</v>
      </c>
      <c r="F62" s="262" t="s">
        <v>272</v>
      </c>
      <c r="G62" s="63">
        <f t="shared" si="0"/>
        <v>0</v>
      </c>
      <c r="H62" s="116">
        <v>957.82</v>
      </c>
      <c r="I62" s="66">
        <f t="shared" si="2"/>
        <v>-957.82</v>
      </c>
      <c r="J62" s="6"/>
    </row>
    <row r="63" spans="1:10" ht="25.5" customHeight="1">
      <c r="A63" s="104" t="s">
        <v>245</v>
      </c>
      <c r="B63" s="101" t="s">
        <v>257</v>
      </c>
      <c r="C63" s="8" t="s">
        <v>23</v>
      </c>
      <c r="D63" s="72">
        <v>6</v>
      </c>
      <c r="E63" s="240">
        <v>0</v>
      </c>
      <c r="F63" s="253"/>
      <c r="G63" s="63">
        <f>ROUND(E63*D63,2)</f>
        <v>0</v>
      </c>
      <c r="H63" s="116">
        <v>384.81</v>
      </c>
      <c r="I63" s="66">
        <f t="shared" si="2"/>
        <v>-384.81</v>
      </c>
      <c r="J63" s="6"/>
    </row>
    <row r="64" spans="1:10" ht="33.75" customHeight="1">
      <c r="A64" s="104" t="s">
        <v>246</v>
      </c>
      <c r="B64" s="101" t="s">
        <v>258</v>
      </c>
      <c r="C64" s="8" t="s">
        <v>23</v>
      </c>
      <c r="D64" s="72">
        <v>6</v>
      </c>
      <c r="E64" s="240">
        <v>0</v>
      </c>
      <c r="F64" s="253"/>
      <c r="G64" s="63">
        <f>ROUND(E64*D64,2)</f>
        <v>0</v>
      </c>
      <c r="H64" s="116">
        <v>314.73</v>
      </c>
      <c r="I64" s="66">
        <f t="shared" si="2"/>
        <v>-314.73</v>
      </c>
      <c r="J64" s="6"/>
    </row>
    <row r="65" spans="1:10" ht="57.75" customHeight="1">
      <c r="A65" s="104" t="s">
        <v>247</v>
      </c>
      <c r="B65" s="101" t="s">
        <v>252</v>
      </c>
      <c r="C65" s="8" t="s">
        <v>23</v>
      </c>
      <c r="D65" s="72">
        <v>118</v>
      </c>
      <c r="E65" s="240">
        <v>0</v>
      </c>
      <c r="F65" s="253"/>
      <c r="G65" s="63">
        <f t="shared" si="0"/>
        <v>0</v>
      </c>
      <c r="H65" s="116">
        <v>2446.38</v>
      </c>
      <c r="I65" s="66">
        <f t="shared" si="2"/>
        <v>-2446.38</v>
      </c>
      <c r="J65" s="6"/>
    </row>
    <row r="66" spans="1:10" ht="45" customHeight="1">
      <c r="A66" s="104" t="s">
        <v>248</v>
      </c>
      <c r="B66" s="101" t="s">
        <v>161</v>
      </c>
      <c r="C66" s="8" t="s">
        <v>23</v>
      </c>
      <c r="D66" s="72">
        <v>118</v>
      </c>
      <c r="E66" s="240">
        <v>0</v>
      </c>
      <c r="F66" s="253"/>
      <c r="G66" s="63">
        <f t="shared" si="0"/>
        <v>0</v>
      </c>
      <c r="H66" s="116">
        <v>2153.98</v>
      </c>
      <c r="I66" s="66">
        <f t="shared" si="1"/>
        <v>-2153.98</v>
      </c>
      <c r="J66" s="6"/>
    </row>
    <row r="67" spans="1:10" ht="51.75" customHeight="1">
      <c r="A67" s="104" t="s">
        <v>249</v>
      </c>
      <c r="B67" s="101" t="s">
        <v>180</v>
      </c>
      <c r="C67" s="8" t="s">
        <v>23</v>
      </c>
      <c r="D67" s="72">
        <f>57+22</f>
        <v>79</v>
      </c>
      <c r="E67" s="240">
        <v>0</v>
      </c>
      <c r="F67" s="253"/>
      <c r="G67" s="63">
        <f t="shared" si="0"/>
        <v>0</v>
      </c>
      <c r="H67" s="116">
        <v>20745.45</v>
      </c>
      <c r="I67" s="66">
        <f t="shared" si="1"/>
        <v>-20745.45</v>
      </c>
      <c r="J67" s="6"/>
    </row>
    <row r="68" spans="1:13" s="118" customFormat="1" ht="72" customHeight="1">
      <c r="A68" s="104" t="s">
        <v>276</v>
      </c>
      <c r="B68" s="101" t="s">
        <v>269</v>
      </c>
      <c r="C68" s="117" t="s">
        <v>84</v>
      </c>
      <c r="D68" s="72">
        <v>276</v>
      </c>
      <c r="E68" s="234">
        <v>0</v>
      </c>
      <c r="F68" s="247"/>
      <c r="G68" s="63">
        <f t="shared" si="0"/>
        <v>0</v>
      </c>
      <c r="H68" s="116">
        <v>62434.51</v>
      </c>
      <c r="I68" s="66">
        <f>G68-H68</f>
        <v>-62434.51</v>
      </c>
      <c r="J68" s="6"/>
      <c r="L68" s="119"/>
      <c r="M68" s="119"/>
    </row>
    <row r="69" spans="1:10" ht="46.5" customHeight="1">
      <c r="A69" s="104" t="s">
        <v>277</v>
      </c>
      <c r="B69" s="101" t="s">
        <v>178</v>
      </c>
      <c r="C69" s="117" t="s">
        <v>84</v>
      </c>
      <c r="D69" s="72">
        <v>276</v>
      </c>
      <c r="E69" s="240">
        <v>0</v>
      </c>
      <c r="F69" s="262" t="s">
        <v>272</v>
      </c>
      <c r="G69" s="63">
        <f t="shared" si="0"/>
        <v>0</v>
      </c>
      <c r="H69" s="116">
        <v>946.49</v>
      </c>
      <c r="I69" s="66">
        <f>G69-H69</f>
        <v>-946.49</v>
      </c>
      <c r="J69" s="6"/>
    </row>
    <row r="70" spans="1:10" ht="45.75" customHeight="1">
      <c r="A70" s="104" t="s">
        <v>278</v>
      </c>
      <c r="B70" s="101" t="s">
        <v>177</v>
      </c>
      <c r="C70" s="117" t="s">
        <v>20</v>
      </c>
      <c r="D70" s="72">
        <v>552</v>
      </c>
      <c r="E70" s="240">
        <v>0</v>
      </c>
      <c r="F70" s="262" t="s">
        <v>272</v>
      </c>
      <c r="G70" s="63">
        <f t="shared" si="0"/>
        <v>0</v>
      </c>
      <c r="H70" s="116">
        <v>2676.81</v>
      </c>
      <c r="I70" s="66">
        <f>G70-H70</f>
        <v>-2676.81</v>
      </c>
      <c r="J70" s="6"/>
    </row>
    <row r="71" spans="1:10" ht="44.25" customHeight="1">
      <c r="A71" s="104" t="s">
        <v>279</v>
      </c>
      <c r="B71" s="101" t="s">
        <v>176</v>
      </c>
      <c r="C71" s="117" t="s">
        <v>84</v>
      </c>
      <c r="D71" s="72">
        <v>276</v>
      </c>
      <c r="E71" s="240">
        <v>0</v>
      </c>
      <c r="F71" s="262" t="s">
        <v>272</v>
      </c>
      <c r="G71" s="63">
        <f>ROUND(E71*D71,2)</f>
        <v>0</v>
      </c>
      <c r="H71" s="116">
        <v>53093.4</v>
      </c>
      <c r="I71" s="66">
        <f>G71-H71</f>
        <v>-53093.4</v>
      </c>
      <c r="J71" s="6"/>
    </row>
    <row r="72" spans="1:10" ht="14.25">
      <c r="A72" s="7"/>
      <c r="B72" s="73"/>
      <c r="C72" s="8"/>
      <c r="D72" s="62"/>
      <c r="E72" s="235" t="s">
        <v>45</v>
      </c>
      <c r="F72" s="248"/>
      <c r="G72" s="81">
        <f>SUM(G35:G71)</f>
        <v>0</v>
      </c>
      <c r="H72" s="81">
        <f>SUM(H35:H71)</f>
        <v>645704.84</v>
      </c>
      <c r="I72" s="81">
        <f>SUM(I35:I71)</f>
        <v>-645704.84</v>
      </c>
      <c r="J72" s="6"/>
    </row>
    <row r="73" spans="1:10" ht="23.25" customHeight="1">
      <c r="A73" s="80" t="s">
        <v>46</v>
      </c>
      <c r="B73" s="82" t="s">
        <v>52</v>
      </c>
      <c r="C73" s="8"/>
      <c r="D73" s="62"/>
      <c r="E73" s="239"/>
      <c r="F73" s="252"/>
      <c r="G73" s="84"/>
      <c r="H73" s="66"/>
      <c r="I73" s="66"/>
      <c r="J73" s="6"/>
    </row>
    <row r="74" spans="1:10" ht="33" customHeight="1">
      <c r="A74" s="104" t="s">
        <v>48</v>
      </c>
      <c r="B74" s="101" t="s">
        <v>95</v>
      </c>
      <c r="C74" s="8" t="s">
        <v>15</v>
      </c>
      <c r="D74" s="62">
        <v>70.3</v>
      </c>
      <c r="E74" s="238">
        <v>0</v>
      </c>
      <c r="F74" s="251"/>
      <c r="G74" s="63">
        <f>ROUND(E74*D74,2)</f>
        <v>0</v>
      </c>
      <c r="H74" s="116">
        <v>4744.23</v>
      </c>
      <c r="I74" s="66">
        <f>G74-H74</f>
        <v>-4744.23</v>
      </c>
      <c r="J74" s="6"/>
    </row>
    <row r="75" spans="1:10" ht="54" customHeight="1">
      <c r="A75" s="104" t="s">
        <v>86</v>
      </c>
      <c r="B75" s="101" t="s">
        <v>162</v>
      </c>
      <c r="C75" s="8" t="s">
        <v>35</v>
      </c>
      <c r="D75" s="62">
        <v>19.24</v>
      </c>
      <c r="E75" s="238">
        <v>0</v>
      </c>
      <c r="F75" s="251"/>
      <c r="G75" s="63">
        <f>ROUND(E75*D75,2)</f>
        <v>0</v>
      </c>
      <c r="H75" s="116">
        <v>2397.13</v>
      </c>
      <c r="I75" s="66">
        <f>G75-H75</f>
        <v>-2397.13</v>
      </c>
      <c r="J75" s="6"/>
    </row>
    <row r="76" spans="1:10" ht="47.25" customHeight="1">
      <c r="A76" s="104" t="s">
        <v>87</v>
      </c>
      <c r="B76" s="101" t="s">
        <v>306</v>
      </c>
      <c r="C76" s="8" t="s">
        <v>35</v>
      </c>
      <c r="D76" s="62">
        <v>5.13</v>
      </c>
      <c r="E76" s="238">
        <v>0</v>
      </c>
      <c r="F76" s="251"/>
      <c r="G76" s="63">
        <f>ROUND(E76*D76,2)</f>
        <v>0</v>
      </c>
      <c r="H76" s="116">
        <v>7097.35</v>
      </c>
      <c r="I76" s="66">
        <f>G76-H76</f>
        <v>-7097.35</v>
      </c>
      <c r="J76" s="6"/>
    </row>
    <row r="77" spans="1:10" ht="21.75" customHeight="1">
      <c r="A77" s="104" t="s">
        <v>88</v>
      </c>
      <c r="B77" s="101" t="s">
        <v>163</v>
      </c>
      <c r="C77" s="86" t="s">
        <v>20</v>
      </c>
      <c r="D77" s="87">
        <v>5</v>
      </c>
      <c r="E77" s="242">
        <v>0</v>
      </c>
      <c r="F77" s="268"/>
      <c r="G77" s="63">
        <f>ROUND(E77*D77,2)</f>
        <v>0</v>
      </c>
      <c r="H77" s="116">
        <v>235.22</v>
      </c>
      <c r="I77" s="66">
        <f>G77-H77</f>
        <v>-235.22</v>
      </c>
      <c r="J77" s="6"/>
    </row>
    <row r="78" spans="1:10" ht="43.5" customHeight="1">
      <c r="A78" s="104" t="s">
        <v>89</v>
      </c>
      <c r="B78" s="101" t="s">
        <v>164</v>
      </c>
      <c r="C78" s="86" t="s">
        <v>20</v>
      </c>
      <c r="D78" s="87">
        <v>5</v>
      </c>
      <c r="E78" s="242">
        <v>0</v>
      </c>
      <c r="F78" s="269"/>
      <c r="G78" s="63">
        <f>ROUND(E78*D78,2)</f>
        <v>0</v>
      </c>
      <c r="H78" s="116">
        <v>202.03</v>
      </c>
      <c r="I78" s="66">
        <f>G78-H78</f>
        <v>-202.03</v>
      </c>
      <c r="J78" s="6"/>
    </row>
    <row r="79" spans="1:10" ht="14.25">
      <c r="A79" s="104"/>
      <c r="B79" s="73"/>
      <c r="C79" s="8"/>
      <c r="D79" s="88"/>
      <c r="E79" s="235" t="s">
        <v>49</v>
      </c>
      <c r="F79" s="248"/>
      <c r="G79" s="81">
        <f>SUM(G74:G78)</f>
        <v>0</v>
      </c>
      <c r="H79" s="81">
        <f>SUM(H74:H78)</f>
        <v>14675.96</v>
      </c>
      <c r="I79" s="81">
        <f>SUM(I74:I78)</f>
        <v>-14675.96</v>
      </c>
      <c r="J79" s="6"/>
    </row>
    <row r="80" spans="1:10" ht="15">
      <c r="A80" s="89" t="s">
        <v>50</v>
      </c>
      <c r="B80" s="90" t="s">
        <v>82</v>
      </c>
      <c r="C80" s="86"/>
      <c r="D80" s="91"/>
      <c r="E80" s="243"/>
      <c r="F80" s="271"/>
      <c r="G80" s="92"/>
      <c r="H80" s="93"/>
      <c r="I80" s="66"/>
      <c r="J80" s="6"/>
    </row>
    <row r="81" spans="1:10" ht="21" customHeight="1">
      <c r="A81" s="103" t="s">
        <v>85</v>
      </c>
      <c r="B81" s="102" t="s">
        <v>165</v>
      </c>
      <c r="C81" s="86" t="s">
        <v>83</v>
      </c>
      <c r="D81" s="94">
        <v>1263</v>
      </c>
      <c r="E81" s="244">
        <v>0</v>
      </c>
      <c r="F81" s="270"/>
      <c r="G81" s="63">
        <f>ROUND(E81*D81,2)</f>
        <v>0</v>
      </c>
      <c r="H81" s="116">
        <v>2740.71</v>
      </c>
      <c r="I81" s="66">
        <f>G81-H81</f>
        <v>-2740.71</v>
      </c>
      <c r="J81" s="6"/>
    </row>
    <row r="82" spans="1:10" ht="14.25">
      <c r="A82" s="89"/>
      <c r="B82" s="85"/>
      <c r="C82" s="86"/>
      <c r="D82" s="91"/>
      <c r="E82" s="243" t="s">
        <v>51</v>
      </c>
      <c r="F82" s="272"/>
      <c r="G82" s="81">
        <f>SUM(G81)</f>
        <v>0</v>
      </c>
      <c r="H82" s="81">
        <f>SUM(H81)</f>
        <v>2740.71</v>
      </c>
      <c r="I82" s="81">
        <f>SUM(I81)</f>
        <v>-2740.71</v>
      </c>
      <c r="J82" s="6"/>
    </row>
    <row r="83" spans="1:10" ht="15">
      <c r="A83" s="89" t="s">
        <v>286</v>
      </c>
      <c r="B83" s="90" t="s">
        <v>284</v>
      </c>
      <c r="C83" s="86"/>
      <c r="D83" s="91"/>
      <c r="E83" s="243"/>
      <c r="F83" s="272"/>
      <c r="G83" s="92"/>
      <c r="H83" s="93"/>
      <c r="I83" s="66"/>
      <c r="J83" s="6"/>
    </row>
    <row r="84" spans="1:10" ht="60.75" customHeight="1">
      <c r="A84" s="103" t="s">
        <v>288</v>
      </c>
      <c r="B84" s="267" t="s">
        <v>285</v>
      </c>
      <c r="C84" s="86" t="s">
        <v>23</v>
      </c>
      <c r="D84" s="72">
        <v>1</v>
      </c>
      <c r="E84" s="244">
        <v>0</v>
      </c>
      <c r="F84" s="269"/>
      <c r="G84" s="63">
        <f>ROUND(E84*D84,2)</f>
        <v>0</v>
      </c>
      <c r="H84" s="116">
        <v>7831.25</v>
      </c>
      <c r="I84" s="66">
        <f>G84-H84</f>
        <v>-7831.25</v>
      </c>
      <c r="J84" s="6"/>
    </row>
    <row r="85" spans="1:10" ht="46.5" customHeight="1">
      <c r="A85" s="103" t="s">
        <v>290</v>
      </c>
      <c r="B85" s="267" t="s">
        <v>289</v>
      </c>
      <c r="C85" s="86" t="s">
        <v>23</v>
      </c>
      <c r="D85" s="72">
        <v>1</v>
      </c>
      <c r="E85" s="244">
        <v>0</v>
      </c>
      <c r="F85" s="269"/>
      <c r="G85" s="63">
        <f>ROUND(E85*D85,2)</f>
        <v>0</v>
      </c>
      <c r="H85" s="116">
        <v>1400</v>
      </c>
      <c r="I85" s="66">
        <f>G85-H85</f>
        <v>-1400</v>
      </c>
      <c r="J85" s="6"/>
    </row>
    <row r="86" spans="1:10" ht="14.25">
      <c r="A86" s="89"/>
      <c r="B86" s="85"/>
      <c r="C86" s="86"/>
      <c r="D86" s="91"/>
      <c r="E86" s="243" t="s">
        <v>287</v>
      </c>
      <c r="F86" s="273"/>
      <c r="G86" s="81">
        <f>SUM(G84:G85)</f>
        <v>0</v>
      </c>
      <c r="H86" s="81">
        <f>SUM(H84:H85)</f>
        <v>9231.25</v>
      </c>
      <c r="I86" s="81">
        <f>SUM(I84:I85)</f>
        <v>-9231.25</v>
      </c>
      <c r="J86" s="6"/>
    </row>
    <row r="87" spans="1:10" ht="15" thickBot="1">
      <c r="A87" s="95"/>
      <c r="B87" s="96"/>
      <c r="C87" s="97"/>
      <c r="D87" s="98"/>
      <c r="E87" s="245"/>
      <c r="F87" s="254"/>
      <c r="G87" s="77"/>
      <c r="H87" s="99"/>
      <c r="I87" s="99"/>
      <c r="J87" s="6"/>
    </row>
    <row r="88" spans="1:10" ht="15.75" thickBot="1">
      <c r="A88" s="52"/>
      <c r="B88" s="53"/>
      <c r="C88" s="53"/>
      <c r="D88" s="53"/>
      <c r="E88" s="283" t="s">
        <v>78</v>
      </c>
      <c r="F88" s="255"/>
      <c r="G88" s="67">
        <f>G86+G79+G72+G33+G30+G27+G21+G17+G11+G82</f>
        <v>0</v>
      </c>
      <c r="H88" s="54" t="s">
        <v>79</v>
      </c>
      <c r="I88" s="54" t="s">
        <v>80</v>
      </c>
      <c r="J88" s="6"/>
    </row>
    <row r="89" spans="1:10" ht="15.75" thickBot="1">
      <c r="A89" s="286"/>
      <c r="B89" s="286"/>
      <c r="C89" s="286"/>
      <c r="D89" s="287"/>
      <c r="E89" s="284"/>
      <c r="F89" s="256"/>
      <c r="G89" s="68"/>
      <c r="H89" s="51">
        <f>G88-I89</f>
        <v>749005.94</v>
      </c>
      <c r="I89" s="51">
        <f>I86+I79+I72+I33+I30+I27+I21+I17+I11+I82</f>
        <v>-749005.94</v>
      </c>
      <c r="J89" s="6"/>
    </row>
    <row r="90" spans="1:10" ht="28.5" customHeight="1">
      <c r="A90" s="266" t="s">
        <v>274</v>
      </c>
      <c r="B90" s="285" t="s">
        <v>275</v>
      </c>
      <c r="C90" s="285"/>
      <c r="D90" s="285"/>
      <c r="E90" s="58"/>
      <c r="F90" s="257"/>
      <c r="G90" s="55"/>
      <c r="H90" s="56"/>
      <c r="I90" s="56"/>
      <c r="J90" s="57"/>
    </row>
    <row r="91" spans="1:13" ht="13.5" customHeight="1">
      <c r="A91" s="10"/>
      <c r="B91" s="10"/>
      <c r="C91" s="10"/>
      <c r="D91" s="10"/>
      <c r="E91" s="58"/>
      <c r="F91" s="257"/>
      <c r="G91" s="55"/>
      <c r="H91" s="197"/>
      <c r="I91" s="56"/>
      <c r="J91" s="57"/>
      <c r="L91"/>
      <c r="M91"/>
    </row>
    <row r="92" spans="1:13" ht="13.5" customHeight="1">
      <c r="A92" s="10"/>
      <c r="B92" s="10"/>
      <c r="C92" s="10"/>
      <c r="D92" s="10"/>
      <c r="E92" s="11"/>
      <c r="F92" s="258"/>
      <c r="G92" s="11"/>
      <c r="H92" s="12"/>
      <c r="I92" s="12"/>
      <c r="J92" s="12"/>
      <c r="L92"/>
      <c r="M92"/>
    </row>
    <row r="93" spans="1:13" ht="13.5" thickBot="1">
      <c r="A93" s="1"/>
      <c r="B93" s="13"/>
      <c r="C93" s="2"/>
      <c r="D93" s="1"/>
      <c r="E93" s="1"/>
      <c r="F93" s="259"/>
      <c r="G93" s="14"/>
      <c r="H93" s="14"/>
      <c r="I93" s="14"/>
      <c r="J93" s="1"/>
      <c r="L93"/>
      <c r="M93"/>
    </row>
    <row r="94" spans="1:13" ht="13.5" thickTop="1">
      <c r="A94" s="1"/>
      <c r="B94" s="16" t="s">
        <v>54</v>
      </c>
      <c r="C94" s="2"/>
      <c r="D94" s="1"/>
      <c r="E94" s="1"/>
      <c r="F94" s="259"/>
      <c r="G94" s="288" t="s">
        <v>55</v>
      </c>
      <c r="H94" s="288"/>
      <c r="I94" s="288"/>
      <c r="J94" s="1"/>
      <c r="L94"/>
      <c r="M94"/>
    </row>
    <row r="95" spans="1:13" ht="14.25">
      <c r="A95" s="1"/>
      <c r="B95" s="17" t="s">
        <v>291</v>
      </c>
      <c r="C95" s="2"/>
      <c r="D95" s="1"/>
      <c r="E95" s="1"/>
      <c r="F95" s="259"/>
      <c r="G95" s="276" t="s">
        <v>226</v>
      </c>
      <c r="H95" s="276"/>
      <c r="I95" s="276"/>
      <c r="J95" s="1"/>
      <c r="L95"/>
      <c r="M95"/>
    </row>
    <row r="96" spans="1:13" ht="14.25">
      <c r="A96" s="15"/>
      <c r="B96" s="17" t="s">
        <v>294</v>
      </c>
      <c r="C96" s="17"/>
      <c r="D96" s="9"/>
      <c r="E96" s="9"/>
      <c r="F96" s="260"/>
      <c r="G96" s="1"/>
      <c r="H96" s="1"/>
      <c r="I96" s="1"/>
      <c r="J96" s="18"/>
      <c r="L96"/>
      <c r="M96"/>
    </row>
    <row r="97" spans="9:13" ht="12.75">
      <c r="I97" s="64"/>
      <c r="L97"/>
      <c r="M97"/>
    </row>
    <row r="98" spans="12:13" ht="12.75">
      <c r="L98"/>
      <c r="M98"/>
    </row>
    <row r="99" spans="12:13" ht="12.75">
      <c r="L99"/>
      <c r="M99"/>
    </row>
    <row r="100" ht="12.75">
      <c r="H100" s="142"/>
    </row>
    <row r="101" ht="15" customHeight="1"/>
    <row r="102" ht="15" customHeight="1"/>
    <row r="103" ht="15" customHeight="1"/>
    <row r="104" ht="15" customHeight="1"/>
    <row r="105" ht="12.75">
      <c r="B105" s="140"/>
    </row>
  </sheetData>
  <sheetProtection/>
  <mergeCells count="21">
    <mergeCell ref="E6:F7"/>
    <mergeCell ref="G94:I94"/>
    <mergeCell ref="A1:B1"/>
    <mergeCell ref="C1:I1"/>
    <mergeCell ref="G6:G7"/>
    <mergeCell ref="H5:J5"/>
    <mergeCell ref="J1:J3"/>
    <mergeCell ref="H6:J6"/>
    <mergeCell ref="D2:I2"/>
    <mergeCell ref="A3:B3"/>
    <mergeCell ref="D3:I3"/>
    <mergeCell ref="A2:B2"/>
    <mergeCell ref="G95:I95"/>
    <mergeCell ref="A6:A7"/>
    <mergeCell ref="B6:B7"/>
    <mergeCell ref="C6:C7"/>
    <mergeCell ref="D6:D7"/>
    <mergeCell ref="E5:G5"/>
    <mergeCell ref="E88:E89"/>
    <mergeCell ref="B90:D90"/>
    <mergeCell ref="A89:D89"/>
  </mergeCells>
  <printOptions horizontalCentered="1" verticalCentered="1"/>
  <pageMargins left="0.3937007874015748" right="0.2362204724409449" top="0.7480314960629921" bottom="0.7480314960629921" header="0.31496062992125984" footer="0.31496062992125984"/>
  <pageSetup fitToHeight="0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8:P56"/>
  <sheetViews>
    <sheetView zoomScalePageLayoutView="0" workbookViewId="0" topLeftCell="A6">
      <selection activeCell="E30" sqref="E30"/>
    </sheetView>
  </sheetViews>
  <sheetFormatPr defaultColWidth="9.140625" defaultRowHeight="12.75"/>
  <cols>
    <col min="5" max="5" width="17.00390625" style="0" customWidth="1"/>
    <col min="6" max="6" width="12.57421875" style="0" customWidth="1"/>
    <col min="7" max="7" width="29.8515625" style="0" customWidth="1"/>
    <col min="8" max="8" width="14.421875" style="0" customWidth="1"/>
    <col min="9" max="9" width="11.57421875" style="0" customWidth="1"/>
    <col min="10" max="10" width="10.57421875" style="0" customWidth="1"/>
    <col min="11" max="11" width="11.421875" style="0" customWidth="1"/>
    <col min="12" max="12" width="10.57421875" style="0" customWidth="1"/>
    <col min="13" max="14" width="10.28125" style="0" customWidth="1"/>
    <col min="15" max="15" width="9.8515625" style="0" customWidth="1"/>
  </cols>
  <sheetData>
    <row r="7" ht="13.5" thickBot="1"/>
    <row r="8" spans="5:16" ht="12.75">
      <c r="E8" s="323" t="s">
        <v>189</v>
      </c>
      <c r="F8" s="324"/>
      <c r="G8" s="324"/>
      <c r="H8" s="324"/>
      <c r="I8" s="324"/>
      <c r="J8" s="324"/>
      <c r="K8" s="324"/>
      <c r="L8" s="324"/>
      <c r="M8" s="324"/>
      <c r="N8" s="324"/>
      <c r="O8" s="324"/>
      <c r="P8" s="325"/>
    </row>
    <row r="9" spans="5:16" ht="12.75">
      <c r="E9" s="326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8"/>
    </row>
    <row r="10" spans="5:16" ht="12.75">
      <c r="E10" s="326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8"/>
    </row>
    <row r="11" spans="5:16" ht="12.75">
      <c r="E11" s="326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8"/>
    </row>
    <row r="12" spans="5:16" ht="12.75">
      <c r="E12" s="326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8"/>
    </row>
    <row r="13" spans="5:16" ht="12.75">
      <c r="E13" s="326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8"/>
    </row>
    <row r="14" spans="5:16" ht="13.5" thickBot="1">
      <c r="E14" s="329"/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1"/>
    </row>
    <row r="15" spans="5:16" ht="16.5" thickBot="1">
      <c r="E15" s="332" t="s">
        <v>190</v>
      </c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4"/>
    </row>
    <row r="16" spans="5:16" ht="12.75">
      <c r="E16" s="198"/>
      <c r="F16" s="316" t="str">
        <f>ORÇAMENTO!D3</f>
        <v>Substituição de Redes de Ferro Fundido e Ferro Galvanizado de Abastecimento de água Por Redes em PEAD pelo Método Não Desturivo (MND) na Rua Dom Pedro II - Município de São Carlos</v>
      </c>
      <c r="G16" s="316"/>
      <c r="H16" s="316"/>
      <c r="I16" s="316"/>
      <c r="J16" s="316"/>
      <c r="K16" s="316"/>
      <c r="L16" s="316"/>
      <c r="M16" s="316"/>
      <c r="N16" s="316"/>
      <c r="O16" s="221"/>
      <c r="P16" s="199"/>
    </row>
    <row r="17" spans="5:16" ht="12.75">
      <c r="E17" s="198"/>
      <c r="F17" s="317"/>
      <c r="G17" s="317"/>
      <c r="H17" s="317"/>
      <c r="I17" s="317"/>
      <c r="J17" s="317"/>
      <c r="K17" s="317"/>
      <c r="L17" s="317"/>
      <c r="M17" s="317"/>
      <c r="N17" s="317"/>
      <c r="O17" s="233"/>
      <c r="P17" s="199"/>
    </row>
    <row r="18" spans="5:16" ht="12.75">
      <c r="E18" s="198"/>
      <c r="F18" s="200"/>
      <c r="G18" s="314"/>
      <c r="H18" s="314"/>
      <c r="I18" s="314"/>
      <c r="J18" s="314"/>
      <c r="K18" s="314"/>
      <c r="L18" s="314"/>
      <c r="M18" s="314"/>
      <c r="N18" s="314"/>
      <c r="O18" s="201"/>
      <c r="P18" s="199"/>
    </row>
    <row r="19" spans="5:16" ht="12.75">
      <c r="E19" s="198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199"/>
    </row>
    <row r="20" spans="5:16" ht="12.75">
      <c r="E20" s="198"/>
      <c r="F20" s="201"/>
      <c r="G20" s="202" t="s">
        <v>191</v>
      </c>
      <c r="H20" s="314"/>
      <c r="I20" s="314"/>
      <c r="J20" s="314"/>
      <c r="K20" s="314"/>
      <c r="L20" s="314"/>
      <c r="M20" s="314"/>
      <c r="N20" s="314"/>
      <c r="O20" s="314"/>
      <c r="P20" s="199"/>
    </row>
    <row r="21" spans="5:16" ht="13.5" thickBot="1">
      <c r="E21" s="198"/>
      <c r="F21" s="203"/>
      <c r="G21" s="203"/>
      <c r="H21" s="203"/>
      <c r="I21" s="203"/>
      <c r="J21" s="203"/>
      <c r="K21" s="203"/>
      <c r="L21" s="204" t="s">
        <v>192</v>
      </c>
      <c r="M21" s="204" t="s">
        <v>193</v>
      </c>
      <c r="N21" s="204" t="s">
        <v>194</v>
      </c>
      <c r="O21" s="203"/>
      <c r="P21" s="199"/>
    </row>
    <row r="22" spans="5:16" ht="13.5" thickBot="1">
      <c r="E22" s="198"/>
      <c r="F22" s="205" t="s">
        <v>195</v>
      </c>
      <c r="G22" s="206" t="s">
        <v>196</v>
      </c>
      <c r="H22" s="207"/>
      <c r="I22" s="208">
        <v>5</v>
      </c>
      <c r="J22" s="209" t="s">
        <v>197</v>
      </c>
      <c r="K22" s="210"/>
      <c r="L22" s="211">
        <v>0.0343</v>
      </c>
      <c r="M22" s="211">
        <v>0.0493</v>
      </c>
      <c r="N22" s="211">
        <v>0.0671</v>
      </c>
      <c r="O22" s="203"/>
      <c r="P22" s="199"/>
    </row>
    <row r="23" spans="5:16" ht="13.5" thickBot="1">
      <c r="E23" s="198"/>
      <c r="F23" s="201"/>
      <c r="G23" s="322"/>
      <c r="H23" s="322"/>
      <c r="I23" s="201"/>
      <c r="J23" s="314"/>
      <c r="K23" s="314"/>
      <c r="L23" s="314"/>
      <c r="M23" s="314"/>
      <c r="N23" s="314"/>
      <c r="O23" s="314"/>
      <c r="P23" s="199"/>
    </row>
    <row r="24" spans="5:16" ht="13.5" thickBot="1">
      <c r="E24" s="198"/>
      <c r="F24" s="205" t="s">
        <v>198</v>
      </c>
      <c r="G24" s="206" t="s">
        <v>199</v>
      </c>
      <c r="H24" s="207"/>
      <c r="I24" s="208">
        <v>1.03</v>
      </c>
      <c r="J24" s="209" t="s">
        <v>197</v>
      </c>
      <c r="K24" s="210"/>
      <c r="L24" s="211">
        <v>0.0094</v>
      </c>
      <c r="M24" s="211">
        <v>0.0099</v>
      </c>
      <c r="N24" s="211">
        <v>0.0117</v>
      </c>
      <c r="O24" s="203"/>
      <c r="P24" s="199"/>
    </row>
    <row r="25" spans="5:16" ht="13.5" thickBot="1">
      <c r="E25" s="198"/>
      <c r="F25" s="201"/>
      <c r="G25" s="322"/>
      <c r="H25" s="322"/>
      <c r="I25" s="201"/>
      <c r="J25" s="314"/>
      <c r="K25" s="314"/>
      <c r="L25" s="314"/>
      <c r="M25" s="314"/>
      <c r="N25" s="314"/>
      <c r="O25" s="314"/>
      <c r="P25" s="199"/>
    </row>
    <row r="26" spans="5:16" ht="13.5" thickBot="1">
      <c r="E26" s="198"/>
      <c r="F26" s="205" t="s">
        <v>200</v>
      </c>
      <c r="G26" s="206" t="s">
        <v>201</v>
      </c>
      <c r="H26" s="207"/>
      <c r="I26" s="208">
        <v>0.6</v>
      </c>
      <c r="J26" s="209" t="s">
        <v>197</v>
      </c>
      <c r="K26" s="210"/>
      <c r="L26" s="211">
        <v>0.0028</v>
      </c>
      <c r="M26" s="211">
        <v>0.0049</v>
      </c>
      <c r="N26" s="211">
        <v>0.0075</v>
      </c>
      <c r="O26" s="203"/>
      <c r="P26" s="199"/>
    </row>
    <row r="27" spans="5:16" ht="13.5" thickBot="1">
      <c r="E27" s="198"/>
      <c r="F27" s="201"/>
      <c r="G27" s="322"/>
      <c r="H27" s="322"/>
      <c r="I27" s="201"/>
      <c r="J27" s="314"/>
      <c r="K27" s="314"/>
      <c r="L27" s="314"/>
      <c r="M27" s="314"/>
      <c r="N27" s="314"/>
      <c r="O27" s="314"/>
      <c r="P27" s="199"/>
    </row>
    <row r="28" spans="5:16" ht="13.5" thickBot="1">
      <c r="E28" s="198"/>
      <c r="F28" s="205" t="s">
        <v>202</v>
      </c>
      <c r="G28" s="206" t="s">
        <v>203</v>
      </c>
      <c r="H28" s="207"/>
      <c r="I28" s="208">
        <v>1.5</v>
      </c>
      <c r="J28" s="209" t="s">
        <v>197</v>
      </c>
      <c r="K28" s="210"/>
      <c r="L28" s="211">
        <v>0.01</v>
      </c>
      <c r="M28" s="211">
        <v>0.0139</v>
      </c>
      <c r="N28" s="211">
        <v>0.0174</v>
      </c>
      <c r="O28" s="203"/>
      <c r="P28" s="199"/>
    </row>
    <row r="29" spans="5:16" ht="13.5" thickBot="1">
      <c r="E29" s="198"/>
      <c r="F29" s="201"/>
      <c r="G29" s="322"/>
      <c r="H29" s="322"/>
      <c r="I29" s="201"/>
      <c r="J29" s="314"/>
      <c r="K29" s="314"/>
      <c r="L29" s="314"/>
      <c r="M29" s="314"/>
      <c r="N29" s="314"/>
      <c r="O29" s="314"/>
      <c r="P29" s="199"/>
    </row>
    <row r="30" spans="5:16" ht="12.75">
      <c r="E30" s="198"/>
      <c r="F30" s="201"/>
      <c r="G30" s="212" t="s">
        <v>204</v>
      </c>
      <c r="H30" s="213"/>
      <c r="I30" s="214">
        <v>2</v>
      </c>
      <c r="J30" s="215" t="s">
        <v>197</v>
      </c>
      <c r="K30" s="319"/>
      <c r="L30" s="314"/>
      <c r="M30" s="314"/>
      <c r="N30" s="314"/>
      <c r="O30" s="314"/>
      <c r="P30" s="199"/>
    </row>
    <row r="31" spans="5:16" ht="12.75">
      <c r="E31" s="198"/>
      <c r="F31" s="205" t="s">
        <v>205</v>
      </c>
      <c r="G31" s="216" t="s">
        <v>206</v>
      </c>
      <c r="H31" s="201"/>
      <c r="I31" s="217">
        <v>0.65</v>
      </c>
      <c r="J31" s="199" t="s">
        <v>197</v>
      </c>
      <c r="K31" s="319"/>
      <c r="L31" s="314"/>
      <c r="M31" s="314"/>
      <c r="N31" s="314"/>
      <c r="O31" s="314"/>
      <c r="P31" s="199"/>
    </row>
    <row r="32" spans="5:16" ht="12.75">
      <c r="E32" s="198"/>
      <c r="F32" s="201"/>
      <c r="G32" s="216" t="s">
        <v>207</v>
      </c>
      <c r="H32" s="201"/>
      <c r="I32" s="217">
        <v>3</v>
      </c>
      <c r="J32" s="199" t="s">
        <v>197</v>
      </c>
      <c r="K32" s="319"/>
      <c r="L32" s="314"/>
      <c r="M32" s="314"/>
      <c r="N32" s="314"/>
      <c r="O32" s="314"/>
      <c r="P32" s="199"/>
    </row>
    <row r="33" spans="5:16" ht="13.5" thickBot="1">
      <c r="E33" s="198"/>
      <c r="F33" s="201"/>
      <c r="G33" s="216" t="s">
        <v>208</v>
      </c>
      <c r="H33" s="201"/>
      <c r="I33" s="217">
        <v>0</v>
      </c>
      <c r="J33" s="199" t="s">
        <v>197</v>
      </c>
      <c r="K33" s="319"/>
      <c r="L33" s="314"/>
      <c r="M33" s="314"/>
      <c r="N33" s="314"/>
      <c r="O33" s="314"/>
      <c r="P33" s="199"/>
    </row>
    <row r="34" spans="5:16" ht="13.5" thickBot="1">
      <c r="E34" s="198"/>
      <c r="F34" s="201"/>
      <c r="G34" s="218" t="s">
        <v>209</v>
      </c>
      <c r="H34" s="219"/>
      <c r="I34" s="208">
        <f>SUM(I30:I33)</f>
        <v>5.65</v>
      </c>
      <c r="J34" s="209" t="s">
        <v>197</v>
      </c>
      <c r="K34" s="319"/>
      <c r="L34" s="314"/>
      <c r="M34" s="314"/>
      <c r="N34" s="314"/>
      <c r="O34" s="314"/>
      <c r="P34" s="199"/>
    </row>
    <row r="35" spans="5:16" ht="13.5" thickBot="1">
      <c r="E35" s="198"/>
      <c r="F35" s="201"/>
      <c r="G35" s="322"/>
      <c r="H35" s="322"/>
      <c r="I35" s="201"/>
      <c r="J35" s="314"/>
      <c r="K35" s="314"/>
      <c r="L35" s="314"/>
      <c r="M35" s="314"/>
      <c r="N35" s="314"/>
      <c r="O35" s="314"/>
      <c r="P35" s="199"/>
    </row>
    <row r="36" spans="5:16" ht="13.5" thickBot="1">
      <c r="E36" s="198"/>
      <c r="F36" s="205" t="s">
        <v>210</v>
      </c>
      <c r="G36" s="206" t="s">
        <v>211</v>
      </c>
      <c r="H36" s="207"/>
      <c r="I36" s="208">
        <v>9</v>
      </c>
      <c r="J36" s="209" t="s">
        <v>197</v>
      </c>
      <c r="K36" s="210"/>
      <c r="L36" s="211">
        <v>0.0674</v>
      </c>
      <c r="M36" s="211">
        <v>0.0804</v>
      </c>
      <c r="N36" s="211">
        <v>0.094</v>
      </c>
      <c r="O36" s="203"/>
      <c r="P36" s="199"/>
    </row>
    <row r="37" spans="5:16" ht="12.75">
      <c r="E37" s="198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199"/>
    </row>
    <row r="38" spans="5:16" ht="12.75">
      <c r="E38" s="198"/>
      <c r="F38" s="314"/>
      <c r="G38" s="314"/>
      <c r="H38" s="201"/>
      <c r="I38" s="314"/>
      <c r="J38" s="314"/>
      <c r="K38" s="314"/>
      <c r="L38" s="314"/>
      <c r="M38" s="314"/>
      <c r="N38" s="314"/>
      <c r="O38" s="314"/>
      <c r="P38" s="199"/>
    </row>
    <row r="39" spans="5:16" ht="13.5" thickBot="1">
      <c r="E39" s="198"/>
      <c r="F39" s="321" t="s">
        <v>212</v>
      </c>
      <c r="G39" s="321"/>
      <c r="H39" s="314"/>
      <c r="I39" s="314"/>
      <c r="J39" s="314"/>
      <c r="K39" s="314"/>
      <c r="L39" s="314"/>
      <c r="M39" s="314"/>
      <c r="N39" s="314"/>
      <c r="O39" s="314"/>
      <c r="P39" s="199"/>
    </row>
    <row r="40" spans="5:16" ht="12.75">
      <c r="E40" s="198"/>
      <c r="F40" s="220"/>
      <c r="G40" s="221"/>
      <c r="H40" s="221"/>
      <c r="I40" s="221"/>
      <c r="J40" s="221"/>
      <c r="K40" s="221"/>
      <c r="L40" s="221"/>
      <c r="M40" s="215"/>
      <c r="N40" s="319"/>
      <c r="O40" s="314"/>
      <c r="P40" s="199"/>
    </row>
    <row r="41" spans="5:16" ht="18.75">
      <c r="E41" s="198"/>
      <c r="F41" s="222" t="s">
        <v>213</v>
      </c>
      <c r="G41" s="223" t="s">
        <v>214</v>
      </c>
      <c r="H41" s="224" t="s">
        <v>215</v>
      </c>
      <c r="I41" s="225">
        <v>1</v>
      </c>
      <c r="J41" s="201"/>
      <c r="K41" s="205" t="s">
        <v>216</v>
      </c>
      <c r="L41" s="225">
        <v>100</v>
      </c>
      <c r="M41" s="199"/>
      <c r="N41" s="319"/>
      <c r="O41" s="314"/>
      <c r="P41" s="199"/>
    </row>
    <row r="42" spans="5:16" ht="12.75">
      <c r="E42" s="198"/>
      <c r="F42" s="198"/>
      <c r="G42" s="225" t="s">
        <v>217</v>
      </c>
      <c r="H42" s="201"/>
      <c r="I42" s="314"/>
      <c r="J42" s="314"/>
      <c r="K42" s="314"/>
      <c r="L42" s="314"/>
      <c r="M42" s="199"/>
      <c r="N42" s="319"/>
      <c r="O42" s="314"/>
      <c r="P42" s="199"/>
    </row>
    <row r="43" spans="5:16" ht="13.5" thickBot="1">
      <c r="E43" s="198"/>
      <c r="F43" s="226"/>
      <c r="G43" s="227"/>
      <c r="H43" s="227"/>
      <c r="I43" s="227"/>
      <c r="J43" s="227"/>
      <c r="K43" s="227"/>
      <c r="L43" s="227"/>
      <c r="M43" s="228"/>
      <c r="N43" s="319"/>
      <c r="O43" s="314"/>
      <c r="P43" s="199"/>
    </row>
    <row r="44" spans="5:16" ht="12.75">
      <c r="E44" s="198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199"/>
    </row>
    <row r="45" spans="5:16" ht="12.75">
      <c r="E45" s="198"/>
      <c r="F45" s="320" t="s">
        <v>218</v>
      </c>
      <c r="G45" s="320"/>
      <c r="H45" s="314"/>
      <c r="I45" s="314"/>
      <c r="J45" s="314"/>
      <c r="K45" s="314"/>
      <c r="L45" s="314"/>
      <c r="M45" s="314"/>
      <c r="N45" s="314"/>
      <c r="O45" s="314"/>
      <c r="P45" s="199"/>
    </row>
    <row r="46" spans="5:16" ht="12.75">
      <c r="E46" s="198"/>
      <c r="F46" s="203"/>
      <c r="G46" s="314"/>
      <c r="H46" s="314"/>
      <c r="I46" s="314"/>
      <c r="J46" s="203"/>
      <c r="K46" s="314"/>
      <c r="L46" s="314"/>
      <c r="M46" s="314"/>
      <c r="N46" s="314"/>
      <c r="O46" s="314"/>
      <c r="P46" s="199"/>
    </row>
    <row r="47" spans="5:16" ht="18.75">
      <c r="E47" s="198"/>
      <c r="F47" s="202" t="s">
        <v>219</v>
      </c>
      <c r="G47" s="229">
        <f>(1+(I22/100)+(I26/100)+(I28/100))*(1+(I24/100))*(1+(I36/100))</f>
        <v>1.179414117</v>
      </c>
      <c r="H47" s="224" t="s">
        <v>215</v>
      </c>
      <c r="I47" s="225">
        <v>1</v>
      </c>
      <c r="J47" s="201"/>
      <c r="K47" s="205" t="s">
        <v>216</v>
      </c>
      <c r="L47" s="225">
        <v>100</v>
      </c>
      <c r="M47" s="205" t="s">
        <v>220</v>
      </c>
      <c r="N47" s="230">
        <f>((G47/G48)-I47)*100</f>
        <v>25.004145945945954</v>
      </c>
      <c r="O47" s="202" t="s">
        <v>197</v>
      </c>
      <c r="P47" s="199"/>
    </row>
    <row r="48" spans="5:16" ht="12.75">
      <c r="E48" s="198"/>
      <c r="F48" s="201"/>
      <c r="G48" s="225">
        <f>(1-(I34/100))</f>
        <v>0.9435</v>
      </c>
      <c r="H48" s="201"/>
      <c r="I48" s="314"/>
      <c r="J48" s="314"/>
      <c r="K48" s="314"/>
      <c r="L48" s="314"/>
      <c r="M48" s="314"/>
      <c r="N48" s="314"/>
      <c r="O48" s="314"/>
      <c r="P48" s="199"/>
    </row>
    <row r="49" spans="5:16" ht="12.75">
      <c r="E49" s="198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199"/>
    </row>
    <row r="50" spans="5:16" ht="12.75">
      <c r="E50" s="198"/>
      <c r="F50" s="314"/>
      <c r="G50" s="314"/>
      <c r="H50" s="314"/>
      <c r="I50" s="314"/>
      <c r="J50" s="314"/>
      <c r="K50" s="314"/>
      <c r="L50" s="314"/>
      <c r="M50" s="314"/>
      <c r="N50" s="314"/>
      <c r="O50" s="314"/>
      <c r="P50" s="199"/>
    </row>
    <row r="51" spans="5:16" ht="15.75">
      <c r="E51" s="198"/>
      <c r="F51" s="201"/>
      <c r="G51" s="231" t="s">
        <v>221</v>
      </c>
      <c r="H51" s="201"/>
      <c r="I51" s="232">
        <f>N47</f>
        <v>25.004145945945954</v>
      </c>
      <c r="J51" s="318" t="s">
        <v>197</v>
      </c>
      <c r="K51" s="318"/>
      <c r="L51" s="201"/>
      <c r="M51" s="314"/>
      <c r="N51" s="314"/>
      <c r="O51" s="314"/>
      <c r="P51" s="199"/>
    </row>
    <row r="52" spans="5:16" ht="12.75">
      <c r="E52" s="198"/>
      <c r="F52" s="314"/>
      <c r="G52" s="314"/>
      <c r="H52" s="314"/>
      <c r="I52" s="314"/>
      <c r="J52" s="314"/>
      <c r="K52" s="314"/>
      <c r="L52" s="314"/>
      <c r="M52" s="314"/>
      <c r="N52" s="314"/>
      <c r="O52" s="314"/>
      <c r="P52" s="199"/>
    </row>
    <row r="53" spans="5:16" ht="12.75">
      <c r="E53" s="198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199"/>
    </row>
    <row r="54" spans="5:16" ht="12.75">
      <c r="E54" s="198"/>
      <c r="F54" s="314"/>
      <c r="G54" s="314"/>
      <c r="H54" s="314"/>
      <c r="I54" s="314"/>
      <c r="J54" s="314"/>
      <c r="K54" s="314"/>
      <c r="L54" s="314"/>
      <c r="M54" s="314"/>
      <c r="N54" s="314"/>
      <c r="O54" s="314"/>
      <c r="P54" s="199"/>
    </row>
    <row r="55" spans="5:16" ht="12.75">
      <c r="E55" s="198"/>
      <c r="F55" s="315" t="s">
        <v>222</v>
      </c>
      <c r="G55" s="315"/>
      <c r="H55" s="315"/>
      <c r="I55" s="315"/>
      <c r="J55" s="315"/>
      <c r="K55" s="315"/>
      <c r="L55" s="315"/>
      <c r="M55" s="315"/>
      <c r="N55" s="315"/>
      <c r="O55" s="201"/>
      <c r="P55" s="199"/>
    </row>
    <row r="56" spans="5:16" ht="13.5" thickBot="1">
      <c r="E56" s="226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8"/>
    </row>
  </sheetData>
  <sheetProtection/>
  <mergeCells count="45">
    <mergeCell ref="E8:P14"/>
    <mergeCell ref="E15:P15"/>
    <mergeCell ref="G18:N18"/>
    <mergeCell ref="F19:O19"/>
    <mergeCell ref="H20:O20"/>
    <mergeCell ref="G23:H23"/>
    <mergeCell ref="J23:O23"/>
    <mergeCell ref="G25:H25"/>
    <mergeCell ref="J25:O25"/>
    <mergeCell ref="G27:H27"/>
    <mergeCell ref="J27:O27"/>
    <mergeCell ref="G29:H29"/>
    <mergeCell ref="J29:O29"/>
    <mergeCell ref="K30:O30"/>
    <mergeCell ref="K31:O31"/>
    <mergeCell ref="K32:O32"/>
    <mergeCell ref="K33:O33"/>
    <mergeCell ref="K34:O34"/>
    <mergeCell ref="G35:H35"/>
    <mergeCell ref="J35:O35"/>
    <mergeCell ref="F44:O44"/>
    <mergeCell ref="F45:G45"/>
    <mergeCell ref="H45:O45"/>
    <mergeCell ref="F37:O37"/>
    <mergeCell ref="F38:G38"/>
    <mergeCell ref="I38:O38"/>
    <mergeCell ref="F39:G39"/>
    <mergeCell ref="H39:O39"/>
    <mergeCell ref="N40:O40"/>
    <mergeCell ref="F55:N55"/>
    <mergeCell ref="F16:N17"/>
    <mergeCell ref="I48:O48"/>
    <mergeCell ref="F49:O49"/>
    <mergeCell ref="F50:O50"/>
    <mergeCell ref="J51:K51"/>
    <mergeCell ref="N41:O41"/>
    <mergeCell ref="I42:L42"/>
    <mergeCell ref="N42:O42"/>
    <mergeCell ref="N43:O43"/>
    <mergeCell ref="M51:O51"/>
    <mergeCell ref="F52:O52"/>
    <mergeCell ref="G46:I46"/>
    <mergeCell ref="K46:O46"/>
    <mergeCell ref="F53:O53"/>
    <mergeCell ref="F54:O54"/>
  </mergeCells>
  <printOptions/>
  <pageMargins left="1.220472440944882" right="0.2362204724409449" top="0.7480314960629921" bottom="0.7480314960629921" header="0.31496062992125984" footer="0.31496062992125984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80" zoomScaleNormal="80" workbookViewId="0" topLeftCell="A1">
      <selection activeCell="F25" sqref="F25:G25"/>
    </sheetView>
  </sheetViews>
  <sheetFormatPr defaultColWidth="9.140625" defaultRowHeight="12.75"/>
  <cols>
    <col min="1" max="1" width="12.57421875" style="0" customWidth="1"/>
    <col min="2" max="2" width="12.421875" style="0" customWidth="1"/>
    <col min="3" max="3" width="49.421875" style="0" customWidth="1"/>
    <col min="4" max="4" width="11.28125" style="0" customWidth="1"/>
    <col min="5" max="5" width="17.57421875" style="0" customWidth="1"/>
    <col min="6" max="6" width="17.7109375" style="0" customWidth="1"/>
    <col min="7" max="7" width="12.140625" style="0" customWidth="1"/>
    <col min="8" max="8" width="20.8515625" style="0" customWidth="1"/>
    <col min="9" max="9" width="19.7109375" style="0" customWidth="1"/>
  </cols>
  <sheetData>
    <row r="1" spans="1:9" ht="27.75" customHeight="1">
      <c r="A1" s="351"/>
      <c r="B1" s="351"/>
      <c r="C1" s="352" t="s">
        <v>101</v>
      </c>
      <c r="D1" s="352"/>
      <c r="E1" s="352"/>
      <c r="F1" s="352"/>
      <c r="G1" s="352"/>
      <c r="H1" s="352"/>
      <c r="I1" s="353"/>
    </row>
    <row r="2" spans="1:9" ht="15.75" customHeight="1">
      <c r="A2" s="351"/>
      <c r="B2" s="351"/>
      <c r="C2" s="354" t="s">
        <v>228</v>
      </c>
      <c r="D2" s="355"/>
      <c r="E2" s="355"/>
      <c r="F2" s="355"/>
      <c r="G2" s="355"/>
      <c r="H2" s="355"/>
      <c r="I2" s="356"/>
    </row>
    <row r="3" spans="1:9" ht="16.5" customHeight="1">
      <c r="A3" s="351"/>
      <c r="B3" s="351"/>
      <c r="C3" s="354"/>
      <c r="D3" s="355"/>
      <c r="E3" s="355"/>
      <c r="F3" s="355"/>
      <c r="G3" s="355"/>
      <c r="H3" s="355"/>
      <c r="I3" s="356"/>
    </row>
    <row r="4" spans="1:9" ht="21" customHeight="1">
      <c r="A4" s="351"/>
      <c r="B4" s="351"/>
      <c r="C4" s="354" t="s">
        <v>229</v>
      </c>
      <c r="D4" s="355"/>
      <c r="E4" s="355"/>
      <c r="F4" s="355"/>
      <c r="G4" s="355"/>
      <c r="H4" s="355"/>
      <c r="I4" s="357"/>
    </row>
    <row r="5" spans="1:9" ht="23.25">
      <c r="A5" s="144"/>
      <c r="B5" s="145"/>
      <c r="C5" s="358" t="s">
        <v>102</v>
      </c>
      <c r="D5" s="358"/>
      <c r="E5" s="358"/>
      <c r="F5" s="358"/>
      <c r="G5" s="358"/>
      <c r="H5" s="358"/>
      <c r="I5" s="358"/>
    </row>
    <row r="6" spans="1:9" ht="43.5" customHeight="1">
      <c r="A6" s="146"/>
      <c r="B6" s="147"/>
      <c r="D6" s="148"/>
      <c r="E6" s="149"/>
      <c r="F6" s="359" t="s">
        <v>305</v>
      </c>
      <c r="G6" s="360"/>
      <c r="H6" s="360"/>
      <c r="I6" s="360"/>
    </row>
    <row r="7" spans="1:9" ht="36">
      <c r="A7" s="150" t="s">
        <v>103</v>
      </c>
      <c r="B7" s="150" t="s">
        <v>104</v>
      </c>
      <c r="C7" s="150" t="s">
        <v>105</v>
      </c>
      <c r="D7" s="151" t="s">
        <v>106</v>
      </c>
      <c r="E7" s="152" t="s">
        <v>107</v>
      </c>
      <c r="F7" s="153" t="s">
        <v>108</v>
      </c>
      <c r="G7" s="154" t="s">
        <v>109</v>
      </c>
      <c r="H7" s="155" t="s">
        <v>110</v>
      </c>
      <c r="I7" s="153" t="s">
        <v>111</v>
      </c>
    </row>
    <row r="8" spans="1:9" ht="18">
      <c r="A8" s="156"/>
      <c r="B8" s="157"/>
      <c r="C8" s="158"/>
      <c r="D8" s="159"/>
      <c r="E8" s="160"/>
      <c r="F8" s="347"/>
      <c r="G8" s="348"/>
      <c r="H8" s="161"/>
      <c r="I8" s="162"/>
    </row>
    <row r="9" spans="1:9" ht="33.75" customHeight="1">
      <c r="A9" s="163" t="s">
        <v>112</v>
      </c>
      <c r="B9" s="164" t="s">
        <v>113</v>
      </c>
      <c r="C9" s="165" t="s">
        <v>295</v>
      </c>
      <c r="D9" s="166" t="s">
        <v>106</v>
      </c>
      <c r="E9" s="167">
        <v>1</v>
      </c>
      <c r="F9" s="168">
        <f>E18</f>
        <v>0</v>
      </c>
      <c r="G9" s="169">
        <v>0.25</v>
      </c>
      <c r="H9" s="170">
        <f>(G9*F9)+F9</f>
        <v>0</v>
      </c>
      <c r="I9" s="170">
        <f>ROUND(E9*H9,2)</f>
        <v>0</v>
      </c>
    </row>
    <row r="10" spans="1:9" ht="36">
      <c r="A10" s="171"/>
      <c r="B10" s="172" t="s">
        <v>104</v>
      </c>
      <c r="C10" s="173" t="s">
        <v>114</v>
      </c>
      <c r="D10" s="174" t="s">
        <v>106</v>
      </c>
      <c r="E10" s="175" t="s">
        <v>115</v>
      </c>
      <c r="F10" s="349" t="s">
        <v>116</v>
      </c>
      <c r="G10" s="350"/>
      <c r="H10" s="176" t="s">
        <v>117</v>
      </c>
      <c r="I10" s="175" t="s">
        <v>118</v>
      </c>
    </row>
    <row r="11" spans="1:9" ht="24">
      <c r="A11" s="177" t="s">
        <v>298</v>
      </c>
      <c r="B11" s="178" t="s">
        <v>297</v>
      </c>
      <c r="C11" s="179" t="s">
        <v>296</v>
      </c>
      <c r="D11" s="166" t="s">
        <v>106</v>
      </c>
      <c r="E11" s="180"/>
      <c r="F11" s="337">
        <v>1</v>
      </c>
      <c r="G11" s="338"/>
      <c r="H11" s="181"/>
      <c r="I11" s="182">
        <f>H11*F11</f>
        <v>0</v>
      </c>
    </row>
    <row r="12" spans="1:9" ht="48">
      <c r="A12" s="177" t="s">
        <v>121</v>
      </c>
      <c r="B12" s="178">
        <v>10775</v>
      </c>
      <c r="C12" s="179" t="s">
        <v>302</v>
      </c>
      <c r="D12" s="166" t="s">
        <v>303</v>
      </c>
      <c r="E12" s="180"/>
      <c r="F12" s="337">
        <v>4</v>
      </c>
      <c r="G12" s="338"/>
      <c r="H12" s="181"/>
      <c r="I12" s="182">
        <f>H12*F12</f>
        <v>0</v>
      </c>
    </row>
    <row r="13" spans="1:9" ht="18">
      <c r="A13" s="171"/>
      <c r="B13" s="183"/>
      <c r="C13" s="184" t="s">
        <v>123</v>
      </c>
      <c r="D13" s="174"/>
      <c r="E13" s="185" t="s">
        <v>124</v>
      </c>
      <c r="F13" s="339" t="s">
        <v>125</v>
      </c>
      <c r="G13" s="340"/>
      <c r="H13" s="186"/>
      <c r="I13" s="182">
        <f>SUM(I11:I12)</f>
        <v>0</v>
      </c>
    </row>
    <row r="14" spans="1:9" ht="18">
      <c r="A14" s="171"/>
      <c r="B14" s="187"/>
      <c r="C14" s="188" t="s">
        <v>126</v>
      </c>
      <c r="D14" s="166"/>
      <c r="E14" s="189">
        <f>I11</f>
        <v>0</v>
      </c>
      <c r="F14" s="341" t="e">
        <f>E14/I13</f>
        <v>#DIV/0!</v>
      </c>
      <c r="G14" s="342"/>
      <c r="H14" s="186"/>
      <c r="I14" s="190"/>
    </row>
    <row r="15" spans="1:9" ht="18">
      <c r="A15" s="171"/>
      <c r="B15" s="187"/>
      <c r="C15" s="188" t="s">
        <v>127</v>
      </c>
      <c r="D15" s="166"/>
      <c r="E15" s="189">
        <f>I12</f>
        <v>0</v>
      </c>
      <c r="F15" s="341" t="e">
        <f>E15/I13</f>
        <v>#DIV/0!</v>
      </c>
      <c r="G15" s="342"/>
      <c r="H15" s="186"/>
      <c r="I15" s="190"/>
    </row>
    <row r="16" spans="1:9" ht="18">
      <c r="A16" s="171"/>
      <c r="B16" s="187"/>
      <c r="C16" s="188" t="s">
        <v>128</v>
      </c>
      <c r="D16" s="166"/>
      <c r="E16" s="189" t="s">
        <v>299</v>
      </c>
      <c r="F16" s="341" t="s">
        <v>299</v>
      </c>
      <c r="G16" s="342"/>
      <c r="H16" s="186"/>
      <c r="I16" s="190"/>
    </row>
    <row r="17" spans="1:9" ht="18">
      <c r="A17" s="171"/>
      <c r="B17" s="187"/>
      <c r="C17" s="188"/>
      <c r="D17" s="166"/>
      <c r="E17" s="180"/>
      <c r="F17" s="343"/>
      <c r="G17" s="344"/>
      <c r="H17" s="186"/>
      <c r="I17" s="190"/>
    </row>
    <row r="18" spans="1:9" ht="18">
      <c r="A18" s="191"/>
      <c r="B18" s="192"/>
      <c r="C18" s="193" t="s">
        <v>129</v>
      </c>
      <c r="D18" s="194"/>
      <c r="E18" s="195">
        <f>SUM(E14:E16)</f>
        <v>0</v>
      </c>
      <c r="F18" s="345" t="e">
        <f>SUM(F14:G16)</f>
        <v>#DIV/0!</v>
      </c>
      <c r="G18" s="346"/>
      <c r="H18" s="335" t="s">
        <v>130</v>
      </c>
      <c r="I18" s="336"/>
    </row>
    <row r="19" ht="28.5" customHeight="1"/>
    <row r="20" spans="1:9" ht="60">
      <c r="A20" s="163" t="s">
        <v>112</v>
      </c>
      <c r="B20" s="164" t="s">
        <v>157</v>
      </c>
      <c r="C20" s="165" t="s">
        <v>156</v>
      </c>
      <c r="D20" s="166" t="s">
        <v>106</v>
      </c>
      <c r="E20" s="167">
        <v>1</v>
      </c>
      <c r="F20" s="168">
        <f>E30</f>
        <v>0</v>
      </c>
      <c r="G20" s="169">
        <v>0.25</v>
      </c>
      <c r="H20" s="170">
        <f>(G20*F20)+F20</f>
        <v>0</v>
      </c>
      <c r="I20" s="170">
        <f>ROUND(E20*H20,2)</f>
        <v>0</v>
      </c>
    </row>
    <row r="21" spans="1:9" ht="36">
      <c r="A21" s="171"/>
      <c r="B21" s="172" t="s">
        <v>104</v>
      </c>
      <c r="C21" s="173" t="s">
        <v>114</v>
      </c>
      <c r="D21" s="174" t="s">
        <v>106</v>
      </c>
      <c r="E21" s="175" t="s">
        <v>115</v>
      </c>
      <c r="F21" s="349" t="s">
        <v>116</v>
      </c>
      <c r="G21" s="350"/>
      <c r="H21" s="176" t="s">
        <v>117</v>
      </c>
      <c r="I21" s="175" t="s">
        <v>118</v>
      </c>
    </row>
    <row r="22" spans="1:9" ht="24">
      <c r="A22" s="177" t="s">
        <v>119</v>
      </c>
      <c r="B22" s="178">
        <v>88248</v>
      </c>
      <c r="C22" s="179" t="s">
        <v>158</v>
      </c>
      <c r="D22" s="166" t="s">
        <v>122</v>
      </c>
      <c r="E22" s="180"/>
      <c r="F22" s="337">
        <v>3</v>
      </c>
      <c r="G22" s="338"/>
      <c r="H22" s="181"/>
      <c r="I22" s="182">
        <f>H22*F22</f>
        <v>0</v>
      </c>
    </row>
    <row r="23" spans="1:9" ht="24">
      <c r="A23" s="177" t="s">
        <v>119</v>
      </c>
      <c r="B23" s="178" t="s">
        <v>160</v>
      </c>
      <c r="C23" s="179" t="s">
        <v>159</v>
      </c>
      <c r="D23" s="166" t="s">
        <v>122</v>
      </c>
      <c r="E23" s="180"/>
      <c r="F23" s="337">
        <v>3</v>
      </c>
      <c r="G23" s="338"/>
      <c r="H23" s="181"/>
      <c r="I23" s="182">
        <f>H23*F23</f>
        <v>0</v>
      </c>
    </row>
    <row r="24" spans="1:9" ht="18">
      <c r="A24" s="177" t="s">
        <v>119</v>
      </c>
      <c r="B24" s="178">
        <v>88317</v>
      </c>
      <c r="C24" s="179" t="s">
        <v>262</v>
      </c>
      <c r="D24" s="166" t="s">
        <v>122</v>
      </c>
      <c r="E24" s="180"/>
      <c r="F24" s="337">
        <v>3</v>
      </c>
      <c r="G24" s="338"/>
      <c r="H24" s="181"/>
      <c r="I24" s="182">
        <f>H24*F24</f>
        <v>0</v>
      </c>
    </row>
    <row r="25" spans="1:9" ht="18">
      <c r="A25" s="171"/>
      <c r="B25" s="183"/>
      <c r="C25" s="184" t="s">
        <v>123</v>
      </c>
      <c r="D25" s="174"/>
      <c r="E25" s="185" t="s">
        <v>124</v>
      </c>
      <c r="F25" s="339" t="s">
        <v>125</v>
      </c>
      <c r="G25" s="340"/>
      <c r="H25" s="186"/>
      <c r="I25" s="182">
        <f>SUM(I22:I24)</f>
        <v>0</v>
      </c>
    </row>
    <row r="26" spans="1:9" ht="18">
      <c r="A26" s="171"/>
      <c r="B26" s="187"/>
      <c r="C26" s="188" t="s">
        <v>126</v>
      </c>
      <c r="D26" s="166"/>
      <c r="E26" s="189">
        <v>0</v>
      </c>
      <c r="F26" s="341" t="e">
        <f>E26/I25</f>
        <v>#DIV/0!</v>
      </c>
      <c r="G26" s="342"/>
      <c r="H26" s="186"/>
      <c r="I26" s="190"/>
    </row>
    <row r="27" spans="1:9" ht="18">
      <c r="A27" s="171"/>
      <c r="B27" s="187"/>
      <c r="C27" s="188" t="s">
        <v>127</v>
      </c>
      <c r="D27" s="166"/>
      <c r="E27" s="189"/>
      <c r="F27" s="341" t="e">
        <f>E27/I25</f>
        <v>#DIV/0!</v>
      </c>
      <c r="G27" s="342"/>
      <c r="H27" s="186"/>
      <c r="I27" s="190"/>
    </row>
    <row r="28" spans="1:9" ht="18">
      <c r="A28" s="171"/>
      <c r="B28" s="187"/>
      <c r="C28" s="188" t="s">
        <v>128</v>
      </c>
      <c r="D28" s="166"/>
      <c r="E28" s="189">
        <f>I22+I23+I24</f>
        <v>0</v>
      </c>
      <c r="F28" s="341" t="e">
        <f>E28/I25</f>
        <v>#DIV/0!</v>
      </c>
      <c r="G28" s="342"/>
      <c r="H28" s="186"/>
      <c r="I28" s="190"/>
    </row>
    <row r="29" spans="1:9" ht="11.25" customHeight="1">
      <c r="A29" s="171"/>
      <c r="B29" s="187"/>
      <c r="C29" s="188"/>
      <c r="D29" s="166"/>
      <c r="E29" s="180"/>
      <c r="F29" s="343"/>
      <c r="G29" s="344"/>
      <c r="H29" s="186"/>
      <c r="I29" s="190"/>
    </row>
    <row r="30" spans="1:9" ht="18">
      <c r="A30" s="191"/>
      <c r="B30" s="192"/>
      <c r="C30" s="193" t="s">
        <v>129</v>
      </c>
      <c r="D30" s="194"/>
      <c r="E30" s="195">
        <f>SUM(E26:E28)</f>
        <v>0</v>
      </c>
      <c r="F30" s="345" t="e">
        <f>SUM(F26:G28)</f>
        <v>#DIV/0!</v>
      </c>
      <c r="G30" s="346"/>
      <c r="H30" s="335" t="s">
        <v>130</v>
      </c>
      <c r="I30" s="336"/>
    </row>
    <row r="32" spans="1:9" ht="90">
      <c r="A32" s="163" t="s">
        <v>112</v>
      </c>
      <c r="B32" s="164" t="s">
        <v>267</v>
      </c>
      <c r="C32" s="165" t="s">
        <v>268</v>
      </c>
      <c r="D32" s="166" t="s">
        <v>106</v>
      </c>
      <c r="E32" s="167">
        <v>1</v>
      </c>
      <c r="F32" s="168">
        <f>E46</f>
        <v>0</v>
      </c>
      <c r="G32" s="169">
        <v>0.25</v>
      </c>
      <c r="H32" s="170">
        <f>(G32*F32)+F32</f>
        <v>0</v>
      </c>
      <c r="I32" s="170">
        <f>ROUND(E32*H32,2)</f>
        <v>0</v>
      </c>
    </row>
    <row r="33" spans="1:9" ht="36">
      <c r="A33" s="171"/>
      <c r="B33" s="172" t="s">
        <v>104</v>
      </c>
      <c r="C33" s="173" t="s">
        <v>114</v>
      </c>
      <c r="D33" s="174" t="s">
        <v>106</v>
      </c>
      <c r="E33" s="175" t="s">
        <v>115</v>
      </c>
      <c r="F33" s="349" t="s">
        <v>116</v>
      </c>
      <c r="G33" s="350"/>
      <c r="H33" s="176" t="s">
        <v>117</v>
      </c>
      <c r="I33" s="175" t="s">
        <v>118</v>
      </c>
    </row>
    <row r="34" spans="1:9" ht="48">
      <c r="A34" s="177" t="s">
        <v>121</v>
      </c>
      <c r="B34" s="178">
        <v>96001</v>
      </c>
      <c r="C34" s="179" t="s">
        <v>263</v>
      </c>
      <c r="D34" s="166" t="s">
        <v>15</v>
      </c>
      <c r="E34" s="180"/>
      <c r="F34" s="337">
        <v>1.3</v>
      </c>
      <c r="G34" s="338"/>
      <c r="H34" s="181"/>
      <c r="I34" s="182">
        <f aca="true" t="shared" si="0" ref="I34:I40">H34*F34</f>
        <v>0</v>
      </c>
    </row>
    <row r="35" spans="1:9" ht="44.25" customHeight="1">
      <c r="A35" s="177" t="s">
        <v>121</v>
      </c>
      <c r="B35" s="178">
        <v>95875</v>
      </c>
      <c r="C35" s="179" t="s">
        <v>264</v>
      </c>
      <c r="D35" s="166" t="s">
        <v>265</v>
      </c>
      <c r="E35" s="180"/>
      <c r="F35" s="337">
        <f>F34*0.05*10</f>
        <v>0.65</v>
      </c>
      <c r="G35" s="338"/>
      <c r="H35" s="181"/>
      <c r="I35" s="182">
        <f t="shared" si="0"/>
        <v>0</v>
      </c>
    </row>
    <row r="36" spans="1:9" ht="42" customHeight="1">
      <c r="A36" s="177" t="s">
        <v>121</v>
      </c>
      <c r="B36" s="178" t="s">
        <v>260</v>
      </c>
      <c r="C36" s="179" t="s">
        <v>270</v>
      </c>
      <c r="D36" s="166" t="s">
        <v>35</v>
      </c>
      <c r="E36" s="180"/>
      <c r="F36" s="337">
        <v>0.65</v>
      </c>
      <c r="G36" s="338"/>
      <c r="H36" s="181"/>
      <c r="I36" s="182">
        <f t="shared" si="0"/>
        <v>0</v>
      </c>
    </row>
    <row r="37" spans="1:9" ht="41.25" customHeight="1">
      <c r="A37" s="177" t="s">
        <v>121</v>
      </c>
      <c r="B37" s="178" t="s">
        <v>261</v>
      </c>
      <c r="C37" s="179" t="s">
        <v>271</v>
      </c>
      <c r="D37" s="166" t="s">
        <v>35</v>
      </c>
      <c r="E37" s="180"/>
      <c r="F37" s="337">
        <v>0.65</v>
      </c>
      <c r="G37" s="338"/>
      <c r="H37" s="181"/>
      <c r="I37" s="182">
        <f t="shared" si="0"/>
        <v>0</v>
      </c>
    </row>
    <row r="38" spans="1:9" ht="60" customHeight="1">
      <c r="A38" s="177" t="s">
        <v>121</v>
      </c>
      <c r="B38" s="178">
        <v>94992</v>
      </c>
      <c r="C38" s="179" t="s">
        <v>266</v>
      </c>
      <c r="D38" s="166" t="s">
        <v>15</v>
      </c>
      <c r="E38" s="180"/>
      <c r="F38" s="337">
        <v>1.3</v>
      </c>
      <c r="G38" s="338"/>
      <c r="H38" s="181"/>
      <c r="I38" s="182">
        <f t="shared" si="0"/>
        <v>0</v>
      </c>
    </row>
    <row r="39" spans="1:9" ht="18">
      <c r="A39" s="177" t="s">
        <v>121</v>
      </c>
      <c r="B39" s="178">
        <v>88317</v>
      </c>
      <c r="C39" s="179" t="s">
        <v>262</v>
      </c>
      <c r="D39" s="166" t="s">
        <v>122</v>
      </c>
      <c r="E39" s="180"/>
      <c r="F39" s="337">
        <v>0.5</v>
      </c>
      <c r="G39" s="338"/>
      <c r="H39" s="181"/>
      <c r="I39" s="182">
        <f t="shared" si="0"/>
        <v>0</v>
      </c>
    </row>
    <row r="40" spans="1:9" ht="27" customHeight="1">
      <c r="A40" s="177" t="s">
        <v>121</v>
      </c>
      <c r="B40" s="178" t="s">
        <v>160</v>
      </c>
      <c r="C40" s="179" t="s">
        <v>159</v>
      </c>
      <c r="D40" s="166" t="s">
        <v>122</v>
      </c>
      <c r="E40" s="180"/>
      <c r="F40" s="337">
        <v>1</v>
      </c>
      <c r="G40" s="338"/>
      <c r="H40" s="181"/>
      <c r="I40" s="182">
        <f t="shared" si="0"/>
        <v>0</v>
      </c>
    </row>
    <row r="41" spans="1:9" ht="18">
      <c r="A41" s="171"/>
      <c r="B41" s="183"/>
      <c r="C41" s="184" t="s">
        <v>123</v>
      </c>
      <c r="D41" s="174"/>
      <c r="E41" s="185" t="s">
        <v>124</v>
      </c>
      <c r="F41" s="339" t="s">
        <v>125</v>
      </c>
      <c r="G41" s="340"/>
      <c r="H41" s="186"/>
      <c r="I41" s="182">
        <f>SUM(I36:I40)</f>
        <v>0</v>
      </c>
    </row>
    <row r="42" spans="1:9" ht="18">
      <c r="A42" s="171"/>
      <c r="B42" s="187"/>
      <c r="C42" s="188" t="s">
        <v>126</v>
      </c>
      <c r="D42" s="166"/>
      <c r="E42" s="189">
        <f>I34+I35</f>
        <v>0</v>
      </c>
      <c r="F42" s="341" t="e">
        <f>E42/I41</f>
        <v>#DIV/0!</v>
      </c>
      <c r="G42" s="342"/>
      <c r="H42" s="186"/>
      <c r="I42" s="190"/>
    </row>
    <row r="43" spans="1:9" ht="18">
      <c r="A43" s="171"/>
      <c r="B43" s="187"/>
      <c r="C43" s="188" t="s">
        <v>127</v>
      </c>
      <c r="D43" s="166"/>
      <c r="E43" s="189">
        <f>I38</f>
        <v>0</v>
      </c>
      <c r="F43" s="341" t="e">
        <f>E43/I41</f>
        <v>#DIV/0!</v>
      </c>
      <c r="G43" s="342"/>
      <c r="H43" s="186"/>
      <c r="I43" s="190"/>
    </row>
    <row r="44" spans="1:9" ht="18">
      <c r="A44" s="171"/>
      <c r="B44" s="187"/>
      <c r="C44" s="188" t="s">
        <v>128</v>
      </c>
      <c r="D44" s="166"/>
      <c r="E44" s="189">
        <f>I36+I37+I39+I40</f>
        <v>0</v>
      </c>
      <c r="F44" s="341" t="e">
        <f>E44/I41</f>
        <v>#DIV/0!</v>
      </c>
      <c r="G44" s="342"/>
      <c r="H44" s="186"/>
      <c r="I44" s="190"/>
    </row>
    <row r="45" spans="1:9" ht="11.25" customHeight="1">
      <c r="A45" s="171"/>
      <c r="B45" s="187"/>
      <c r="C45" s="188"/>
      <c r="D45" s="166"/>
      <c r="E45" s="180"/>
      <c r="F45" s="343"/>
      <c r="G45" s="344"/>
      <c r="H45" s="186"/>
      <c r="I45" s="190"/>
    </row>
    <row r="46" spans="1:9" ht="18">
      <c r="A46" s="191"/>
      <c r="B46" s="192"/>
      <c r="C46" s="193" t="s">
        <v>129</v>
      </c>
      <c r="D46" s="194"/>
      <c r="E46" s="195">
        <f>SUM(E42:E44)</f>
        <v>0</v>
      </c>
      <c r="F46" s="345" t="e">
        <f>SUM(F42:G44)</f>
        <v>#DIV/0!</v>
      </c>
      <c r="G46" s="346"/>
      <c r="H46" s="335" t="s">
        <v>130</v>
      </c>
      <c r="I46" s="336"/>
    </row>
  </sheetData>
  <sheetProtection/>
  <mergeCells count="43">
    <mergeCell ref="F44:G44"/>
    <mergeCell ref="F45:G45"/>
    <mergeCell ref="F46:G46"/>
    <mergeCell ref="H46:I46"/>
    <mergeCell ref="F33:G33"/>
    <mergeCell ref="F36:G36"/>
    <mergeCell ref="F41:G41"/>
    <mergeCell ref="F42:G42"/>
    <mergeCell ref="F43:G43"/>
    <mergeCell ref="F38:G38"/>
    <mergeCell ref="F40:G40"/>
    <mergeCell ref="A1:B4"/>
    <mergeCell ref="C1:I1"/>
    <mergeCell ref="C2:I3"/>
    <mergeCell ref="C4:I4"/>
    <mergeCell ref="C5:I5"/>
    <mergeCell ref="F30:G30"/>
    <mergeCell ref="H30:I30"/>
    <mergeCell ref="F27:G27"/>
    <mergeCell ref="F6:I6"/>
    <mergeCell ref="F8:G8"/>
    <mergeCell ref="F39:G39"/>
    <mergeCell ref="F37:G37"/>
    <mergeCell ref="F34:G34"/>
    <mergeCell ref="F35:G35"/>
    <mergeCell ref="F10:G10"/>
    <mergeCell ref="F11:G11"/>
    <mergeCell ref="F23:G23"/>
    <mergeCell ref="F21:G21"/>
    <mergeCell ref="F28:G28"/>
    <mergeCell ref="F29:G29"/>
    <mergeCell ref="F26:G26"/>
    <mergeCell ref="F25:G25"/>
    <mergeCell ref="F22:G22"/>
    <mergeCell ref="F24:G24"/>
    <mergeCell ref="F17:G17"/>
    <mergeCell ref="F18:G18"/>
    <mergeCell ref="H18:I18"/>
    <mergeCell ref="F12:G12"/>
    <mergeCell ref="F13:G13"/>
    <mergeCell ref="F14:G14"/>
    <mergeCell ref="F15:G15"/>
    <mergeCell ref="F16:G16"/>
  </mergeCells>
  <hyperlinks>
    <hyperlink ref="B34" r:id="rId1" display="https://app.orcafascio.com/banco/sinapi/composicoes/63ca8b25e64d1e32504a5992?estado_sinapi=SP"/>
    <hyperlink ref="B11" r:id="rId2" display="https://app.orcafascio.com/banco/sinapi/composicoes/63ca8b25e64d1e32504a5992?estado_sinapi=SP"/>
  </hyperlink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8" r:id="rId4"/>
  <headerFooter>
    <oddFooter>&amp;CPágina 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5"/>
  <sheetViews>
    <sheetView tabSelected="1" zoomScale="70" zoomScaleNormal="70" zoomScaleSheetLayoutView="70" workbookViewId="0" topLeftCell="A1">
      <selection activeCell="E3" sqref="E3:G3"/>
    </sheetView>
  </sheetViews>
  <sheetFormatPr defaultColWidth="9.140625" defaultRowHeight="12.75"/>
  <cols>
    <col min="1" max="1" width="8.7109375" style="19" customWidth="1"/>
    <col min="2" max="2" width="56.140625" style="20" customWidth="1"/>
    <col min="3" max="3" width="17.7109375" style="20" customWidth="1"/>
    <col min="4" max="4" width="32.28125" style="20" customWidth="1"/>
    <col min="5" max="5" width="35.57421875" style="20" customWidth="1"/>
    <col min="6" max="6" width="35.00390625" style="20" customWidth="1"/>
    <col min="7" max="7" width="38.28125" style="20" customWidth="1"/>
    <col min="8" max="8" width="21.00390625" style="20" customWidth="1"/>
    <col min="9" max="9" width="21.00390625" style="48" customWidth="1"/>
    <col min="10" max="10" width="7.421875" style="20" customWidth="1"/>
    <col min="11" max="11" width="21.57421875" style="20" customWidth="1"/>
    <col min="12" max="12" width="16.7109375" style="20" customWidth="1"/>
    <col min="13" max="13" width="16.8515625" style="20" customWidth="1"/>
    <col min="14" max="16384" width="9.140625" style="20" customWidth="1"/>
  </cols>
  <sheetData>
    <row r="1" spans="1:249" ht="39.75" customHeight="1">
      <c r="A1" s="289" t="s">
        <v>90</v>
      </c>
      <c r="B1" s="290"/>
      <c r="C1" s="431" t="s">
        <v>94</v>
      </c>
      <c r="D1" s="432"/>
      <c r="E1" s="432"/>
      <c r="F1" s="432"/>
      <c r="G1" s="132" t="s">
        <v>308</v>
      </c>
      <c r="H1" s="133"/>
      <c r="I1" s="134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</row>
    <row r="2" spans="1:9" ht="24.75" customHeight="1">
      <c r="A2" s="274" t="s">
        <v>92</v>
      </c>
      <c r="B2" s="275"/>
      <c r="C2" s="433" t="s">
        <v>56</v>
      </c>
      <c r="D2" s="434"/>
      <c r="E2" s="435" t="s">
        <v>57</v>
      </c>
      <c r="F2" s="435"/>
      <c r="G2" s="435"/>
      <c r="H2" s="135"/>
      <c r="I2" s="136"/>
    </row>
    <row r="3" spans="1:9" ht="39" customHeight="1" thickBot="1">
      <c r="A3" s="426" t="s">
        <v>2</v>
      </c>
      <c r="B3" s="427"/>
      <c r="C3" s="413" t="s">
        <v>3</v>
      </c>
      <c r="D3" s="414"/>
      <c r="E3" s="415" t="s">
        <v>251</v>
      </c>
      <c r="F3" s="416"/>
      <c r="G3" s="417"/>
      <c r="H3" s="137"/>
      <c r="I3" s="138"/>
    </row>
    <row r="4" spans="1:9" ht="24.75" customHeight="1" thickBot="1">
      <c r="A4" s="22"/>
      <c r="B4" s="23"/>
      <c r="C4" s="23"/>
      <c r="D4" s="23"/>
      <c r="E4" s="23"/>
      <c r="F4" s="23"/>
      <c r="G4" s="23"/>
      <c r="H4" s="23"/>
      <c r="I4" s="41"/>
    </row>
    <row r="5" spans="1:9" s="25" customFormat="1" ht="35.25" customHeight="1" thickBot="1">
      <c r="A5" s="418" t="s">
        <v>5</v>
      </c>
      <c r="B5" s="24" t="s">
        <v>58</v>
      </c>
      <c r="C5" s="141" t="s">
        <v>59</v>
      </c>
      <c r="D5" s="419" t="s">
        <v>60</v>
      </c>
      <c r="E5" s="420"/>
      <c r="F5" s="420"/>
      <c r="G5" s="421"/>
      <c r="H5" s="422" t="s">
        <v>61</v>
      </c>
      <c r="I5" s="424" t="s">
        <v>62</v>
      </c>
    </row>
    <row r="6" spans="1:9" s="25" customFormat="1" ht="28.5" customHeight="1" thickBot="1">
      <c r="A6" s="418"/>
      <c r="B6" s="26" t="s">
        <v>63</v>
      </c>
      <c r="C6" s="27" t="s">
        <v>64</v>
      </c>
      <c r="D6" s="38">
        <v>1</v>
      </c>
      <c r="E6" s="38">
        <v>2</v>
      </c>
      <c r="F6" s="38">
        <v>3</v>
      </c>
      <c r="G6" s="38">
        <v>4</v>
      </c>
      <c r="H6" s="423"/>
      <c r="I6" s="424"/>
    </row>
    <row r="7" spans="1:12" ht="18" customHeight="1" thickBot="1">
      <c r="A7" s="425">
        <v>1</v>
      </c>
      <c r="B7" s="428" t="str">
        <f>ORÇAMENTO!B8</f>
        <v>Serviços Preliminares</v>
      </c>
      <c r="C7" s="429"/>
      <c r="D7" s="35">
        <f>ROUND(I7*0.4,2)</f>
        <v>0</v>
      </c>
      <c r="E7" s="35">
        <f>ROUND(I7*0.2,2)</f>
        <v>0</v>
      </c>
      <c r="F7" s="35">
        <f>ROUND(I7*0.2,2)</f>
        <v>0</v>
      </c>
      <c r="G7" s="35">
        <f>I7-D7-E7-F7</f>
        <v>0</v>
      </c>
      <c r="H7" s="430"/>
      <c r="I7" s="410">
        <f>ORÇAMENTO!G11</f>
        <v>0</v>
      </c>
      <c r="J7" s="25"/>
      <c r="K7" s="143"/>
      <c r="L7" s="25"/>
    </row>
    <row r="8" spans="1:12" ht="9.75" customHeight="1" thickBot="1">
      <c r="A8" s="425"/>
      <c r="B8" s="428"/>
      <c r="C8" s="429"/>
      <c r="D8" s="40"/>
      <c r="E8" s="40"/>
      <c r="F8" s="40"/>
      <c r="G8" s="40"/>
      <c r="H8" s="430"/>
      <c r="I8" s="411"/>
      <c r="J8" s="25"/>
      <c r="K8" s="25"/>
      <c r="L8" s="25"/>
    </row>
    <row r="9" spans="1:12" ht="18" customHeight="1">
      <c r="A9" s="406">
        <v>2</v>
      </c>
      <c r="B9" s="407" t="str">
        <f>ORÇAMENTO!B12</f>
        <v>Serviços Técnicos</v>
      </c>
      <c r="C9" s="408"/>
      <c r="D9" s="35">
        <f>ROUND($I$9*0.4,2)</f>
        <v>0</v>
      </c>
      <c r="E9" s="35">
        <f>ROUND($I$9*0.2,2)</f>
        <v>0</v>
      </c>
      <c r="F9" s="35">
        <f>ROUND($I$9*0.2,2)</f>
        <v>0</v>
      </c>
      <c r="G9" s="35">
        <f>I9-D9-E9-F9</f>
        <v>0</v>
      </c>
      <c r="H9" s="409"/>
      <c r="I9" s="410">
        <f>ORÇAMENTO!G17</f>
        <v>0</v>
      </c>
      <c r="J9" s="25"/>
      <c r="K9" s="143"/>
      <c r="L9" s="25"/>
    </row>
    <row r="10" spans="1:12" ht="9.75" customHeight="1" thickBot="1">
      <c r="A10" s="406"/>
      <c r="B10" s="407"/>
      <c r="C10" s="408"/>
      <c r="D10" s="39"/>
      <c r="E10" s="39"/>
      <c r="F10" s="39"/>
      <c r="G10" s="39"/>
      <c r="H10" s="409"/>
      <c r="I10" s="411"/>
      <c r="J10" s="25"/>
      <c r="K10" s="25"/>
      <c r="L10" s="25"/>
    </row>
    <row r="11" spans="1:12" ht="18.75" customHeight="1">
      <c r="A11" s="406">
        <v>3</v>
      </c>
      <c r="B11" s="407" t="str">
        <f>ORÇAMENTO!B18</f>
        <v>Sinalização das Obras</v>
      </c>
      <c r="C11" s="408"/>
      <c r="D11" s="35">
        <f>ROUND($I$11*0.3,2)</f>
        <v>0</v>
      </c>
      <c r="E11" s="35">
        <f>ROUND($I$11*0.3,2)</f>
        <v>0</v>
      </c>
      <c r="F11" s="35">
        <f>ROUND($I$11*0.3,2)</f>
        <v>0</v>
      </c>
      <c r="G11" s="35">
        <f>I11-D11-E11-F11</f>
        <v>0</v>
      </c>
      <c r="H11" s="409"/>
      <c r="I11" s="410">
        <f>ORÇAMENTO!G21</f>
        <v>0</v>
      </c>
      <c r="J11" s="25"/>
      <c r="K11" s="143"/>
      <c r="L11" s="25"/>
    </row>
    <row r="12" spans="1:12" ht="9.75" customHeight="1" thickBot="1">
      <c r="A12" s="406"/>
      <c r="B12" s="407"/>
      <c r="C12" s="408"/>
      <c r="D12" s="39"/>
      <c r="E12" s="39"/>
      <c r="F12" s="39"/>
      <c r="G12" s="39"/>
      <c r="H12" s="409"/>
      <c r="I12" s="411"/>
      <c r="J12" s="25"/>
      <c r="K12" s="25"/>
      <c r="L12" s="25"/>
    </row>
    <row r="13" spans="1:12" ht="18.75" customHeight="1">
      <c r="A13" s="406">
        <v>4</v>
      </c>
      <c r="B13" s="407" t="str">
        <f>ORÇAMENTO!B22</f>
        <v>Escavação em Geral</v>
      </c>
      <c r="C13" s="408"/>
      <c r="D13" s="35">
        <f>ROUND($I$13*0.35,2)</f>
        <v>0</v>
      </c>
      <c r="E13" s="35">
        <f>ROUND($I$13*0.3,2)</f>
        <v>0</v>
      </c>
      <c r="F13" s="35">
        <f>ROUND($I$13*0.3,2)</f>
        <v>0</v>
      </c>
      <c r="G13" s="35">
        <f>I13-D13-E13-F13</f>
        <v>0</v>
      </c>
      <c r="H13" s="409"/>
      <c r="I13" s="410">
        <f>ORÇAMENTO!G27</f>
        <v>0</v>
      </c>
      <c r="J13" s="25"/>
      <c r="K13" s="143"/>
      <c r="L13" s="25"/>
    </row>
    <row r="14" spans="1:12" ht="9.75" customHeight="1" thickBot="1">
      <c r="A14" s="406"/>
      <c r="B14" s="407"/>
      <c r="C14" s="408"/>
      <c r="D14" s="39"/>
      <c r="E14" s="39"/>
      <c r="F14" s="39"/>
      <c r="G14" s="39"/>
      <c r="H14" s="409"/>
      <c r="I14" s="411"/>
      <c r="J14" s="25"/>
      <c r="K14" s="25"/>
      <c r="L14" s="25"/>
    </row>
    <row r="15" spans="1:12" ht="18.75" customHeight="1">
      <c r="A15" s="406">
        <v>5</v>
      </c>
      <c r="B15" s="407" t="str">
        <f>ORÇAMENTO!B28</f>
        <v>Reaterro de Valas</v>
      </c>
      <c r="C15" s="408"/>
      <c r="D15" s="35">
        <f>ROUND($I$15*0.3,2)</f>
        <v>0</v>
      </c>
      <c r="E15" s="35">
        <f>ROUND($I$15*0.35,2)</f>
        <v>0</v>
      </c>
      <c r="F15" s="35">
        <f>ROUND($I$15*0.25,2)</f>
        <v>0</v>
      </c>
      <c r="G15" s="35">
        <f>I15-D15-E15-F15</f>
        <v>0</v>
      </c>
      <c r="H15" s="409"/>
      <c r="I15" s="410">
        <f>ORÇAMENTO!G30</f>
        <v>0</v>
      </c>
      <c r="J15" s="25"/>
      <c r="K15" s="143"/>
      <c r="L15" s="25"/>
    </row>
    <row r="16" spans="1:12" ht="9.75" customHeight="1" thickBot="1">
      <c r="A16" s="406"/>
      <c r="B16" s="407"/>
      <c r="C16" s="408"/>
      <c r="D16" s="39"/>
      <c r="E16" s="39"/>
      <c r="F16" s="39"/>
      <c r="G16" s="39"/>
      <c r="H16" s="409"/>
      <c r="I16" s="411"/>
      <c r="J16" s="25"/>
      <c r="K16" s="25"/>
      <c r="L16" s="25"/>
    </row>
    <row r="17" spans="1:12" ht="18.75" customHeight="1">
      <c r="A17" s="406">
        <v>6</v>
      </c>
      <c r="B17" s="407" t="str">
        <f>ORÇAMENTO!B31</f>
        <v>Ancoragem de Conexões </v>
      </c>
      <c r="C17" s="408"/>
      <c r="D17" s="35">
        <f>ROUND($I$17*0.1,2)</f>
        <v>0</v>
      </c>
      <c r="E17" s="35">
        <f>ROUND($I$17*0.35,2)</f>
        <v>0</v>
      </c>
      <c r="F17" s="35">
        <f>ROUND($I$17*0.3,2)</f>
        <v>0</v>
      </c>
      <c r="G17" s="35">
        <f>I17-D17-E17-F17</f>
        <v>0</v>
      </c>
      <c r="H17" s="409"/>
      <c r="I17" s="410">
        <f>ORÇAMENTO!G33</f>
        <v>0</v>
      </c>
      <c r="J17" s="25"/>
      <c r="K17" s="143"/>
      <c r="L17" s="25"/>
    </row>
    <row r="18" spans="1:12" ht="9.75" customHeight="1" thickBot="1">
      <c r="A18" s="406"/>
      <c r="B18" s="407"/>
      <c r="C18" s="408"/>
      <c r="D18" s="39"/>
      <c r="E18" s="39"/>
      <c r="F18" s="39"/>
      <c r="G18" s="39"/>
      <c r="H18" s="409"/>
      <c r="I18" s="411"/>
      <c r="J18" s="25"/>
      <c r="K18" s="25"/>
      <c r="L18" s="25"/>
    </row>
    <row r="19" spans="1:12" ht="27.75" customHeight="1">
      <c r="A19" s="406">
        <v>7</v>
      </c>
      <c r="B19" s="407" t="str">
        <f>ORÇAMENTO!B34</f>
        <v>Fornecimento e Assentamento de Redes</v>
      </c>
      <c r="C19" s="408"/>
      <c r="D19" s="35">
        <f>ROUND($I$19*0.6,2)</f>
        <v>0</v>
      </c>
      <c r="E19" s="35">
        <f>ROUND($I$19*0.15,2)</f>
        <v>0</v>
      </c>
      <c r="F19" s="35">
        <f>ROUND($I$19*0.1,2)</f>
        <v>0</v>
      </c>
      <c r="G19" s="35">
        <f>I19-D19-E19-F19</f>
        <v>0</v>
      </c>
      <c r="H19" s="409"/>
      <c r="I19" s="410">
        <f>ORÇAMENTO!G72</f>
        <v>0</v>
      </c>
      <c r="J19" s="25"/>
      <c r="K19" s="143"/>
      <c r="L19" s="25"/>
    </row>
    <row r="20" spans="1:12" ht="18" customHeight="1" thickBot="1">
      <c r="A20" s="406"/>
      <c r="B20" s="407"/>
      <c r="C20" s="408"/>
      <c r="D20" s="39"/>
      <c r="E20" s="39"/>
      <c r="F20" s="39"/>
      <c r="G20" s="39"/>
      <c r="H20" s="409"/>
      <c r="I20" s="411"/>
      <c r="J20" s="25"/>
      <c r="K20" s="25"/>
      <c r="L20" s="25"/>
    </row>
    <row r="21" spans="1:12" ht="18.75" customHeight="1">
      <c r="A21" s="406">
        <v>8</v>
      </c>
      <c r="B21" s="407" t="str">
        <f>ORÇAMENTO!B73</f>
        <v>Pavimentação</v>
      </c>
      <c r="C21" s="408"/>
      <c r="D21" s="35"/>
      <c r="E21" s="35">
        <f>ROUND($I$21*0.4,2)</f>
        <v>0</v>
      </c>
      <c r="F21" s="35">
        <f>ROUND($I$21*0.3,2)</f>
        <v>0</v>
      </c>
      <c r="G21" s="35">
        <f>I21-E21-F21</f>
        <v>0</v>
      </c>
      <c r="H21" s="409"/>
      <c r="I21" s="410">
        <f>ORÇAMENTO!G79</f>
        <v>0</v>
      </c>
      <c r="J21" s="25"/>
      <c r="K21" s="143"/>
      <c r="L21" s="25"/>
    </row>
    <row r="22" spans="1:12" ht="9.75" customHeight="1" thickBot="1">
      <c r="A22" s="406"/>
      <c r="B22" s="407"/>
      <c r="C22" s="408"/>
      <c r="D22" s="105"/>
      <c r="E22" s="39"/>
      <c r="F22" s="39"/>
      <c r="G22" s="39"/>
      <c r="H22" s="409"/>
      <c r="I22" s="411"/>
      <c r="J22" s="25"/>
      <c r="K22" s="25"/>
      <c r="L22" s="25"/>
    </row>
    <row r="23" spans="1:12" ht="29.25" customHeight="1">
      <c r="A23" s="406">
        <v>9</v>
      </c>
      <c r="B23" s="407" t="str">
        <f>ORÇAMENTO!B80</f>
        <v> Limpeza  </v>
      </c>
      <c r="C23" s="408"/>
      <c r="D23" s="35"/>
      <c r="E23" s="35">
        <f>ROUND($I$23*0.4,2)</f>
        <v>0</v>
      </c>
      <c r="F23" s="35">
        <f>ROUND($I$23*0.3,2)</f>
        <v>0</v>
      </c>
      <c r="G23" s="35">
        <f>I23-E23-F23</f>
        <v>0</v>
      </c>
      <c r="H23" s="409"/>
      <c r="I23" s="410">
        <f>ORÇAMENTO!G82</f>
        <v>0</v>
      </c>
      <c r="J23" s="25"/>
      <c r="K23" s="143"/>
      <c r="L23" s="25"/>
    </row>
    <row r="24" spans="1:12" ht="9.75" customHeight="1" thickBot="1">
      <c r="A24" s="406"/>
      <c r="B24" s="407"/>
      <c r="C24" s="408"/>
      <c r="D24" s="35"/>
      <c r="E24" s="107"/>
      <c r="F24" s="108"/>
      <c r="G24" s="108"/>
      <c r="H24" s="409"/>
      <c r="I24" s="411"/>
      <c r="J24" s="25"/>
      <c r="K24" s="25"/>
      <c r="L24" s="25"/>
    </row>
    <row r="25" spans="1:12" ht="29.25" customHeight="1">
      <c r="A25" s="406">
        <v>10</v>
      </c>
      <c r="B25" s="407" t="str">
        <f>ORÇAMENTO!B83</f>
        <v>Serviços Complementares</v>
      </c>
      <c r="C25" s="408"/>
      <c r="D25" s="35">
        <f>ROUND($I$25*0.2,2)</f>
        <v>0</v>
      </c>
      <c r="E25" s="35">
        <f>ROUND($I$25*0.2,2)</f>
        <v>0</v>
      </c>
      <c r="F25" s="35">
        <f>ROUND($I$25*0.3,2)</f>
        <v>0</v>
      </c>
      <c r="G25" s="35">
        <f>I25-E25-F25-D25</f>
        <v>0</v>
      </c>
      <c r="H25" s="409"/>
      <c r="I25" s="410">
        <f>ORÇAMENTO!G86</f>
        <v>0</v>
      </c>
      <c r="J25" s="25"/>
      <c r="K25" s="143"/>
      <c r="L25" s="25"/>
    </row>
    <row r="26" spans="1:12" ht="9.75" customHeight="1" thickBot="1">
      <c r="A26" s="406"/>
      <c r="B26" s="407"/>
      <c r="C26" s="408"/>
      <c r="D26" s="107"/>
      <c r="E26" s="107"/>
      <c r="F26" s="108"/>
      <c r="G26" s="108"/>
      <c r="H26" s="409"/>
      <c r="I26" s="411"/>
      <c r="J26" s="25"/>
      <c r="K26" s="25"/>
      <c r="L26" s="25"/>
    </row>
    <row r="27" spans="1:12" ht="18" customHeight="1" thickBot="1">
      <c r="A27" s="406"/>
      <c r="B27" s="407"/>
      <c r="C27" s="408"/>
      <c r="D27" s="35"/>
      <c r="E27" s="37"/>
      <c r="F27" s="37"/>
      <c r="G27" s="37"/>
      <c r="H27" s="409"/>
      <c r="I27" s="412"/>
      <c r="J27" s="25"/>
      <c r="K27" s="25"/>
      <c r="L27" s="25"/>
    </row>
    <row r="28" spans="1:12" ht="9.75" customHeight="1" thickBot="1">
      <c r="A28" s="406"/>
      <c r="B28" s="407"/>
      <c r="C28" s="408"/>
      <c r="D28" s="35"/>
      <c r="E28" s="35"/>
      <c r="F28" s="106"/>
      <c r="G28" s="35"/>
      <c r="H28" s="409"/>
      <c r="I28" s="412"/>
      <c r="J28" s="25"/>
      <c r="K28" s="25"/>
      <c r="L28" s="25"/>
    </row>
    <row r="29" spans="1:12" ht="24.75" customHeight="1" thickBot="1">
      <c r="A29" s="401" t="s">
        <v>53</v>
      </c>
      <c r="B29" s="402"/>
      <c r="C29" s="34"/>
      <c r="D29" s="50">
        <f>SUM(D7:D27)</f>
        <v>0</v>
      </c>
      <c r="E29" s="50">
        <f>SUM(E7:E27)</f>
        <v>0</v>
      </c>
      <c r="F29" s="50">
        <f>SUM(F7:F27)</f>
        <v>0</v>
      </c>
      <c r="G29" s="50">
        <f>SUM(G7:G27)</f>
        <v>0</v>
      </c>
      <c r="H29" s="36"/>
      <c r="I29" s="69">
        <f>SUM(I7:I26)</f>
        <v>0</v>
      </c>
      <c r="J29" s="25"/>
      <c r="K29" s="25"/>
      <c r="L29" s="25"/>
    </row>
    <row r="30" spans="1:12" ht="24.75" customHeight="1" thickBot="1">
      <c r="A30" s="401" t="s">
        <v>224</v>
      </c>
      <c r="B30" s="402"/>
      <c r="C30" s="34"/>
      <c r="D30" s="49">
        <f>D29-D31</f>
        <v>0</v>
      </c>
      <c r="E30" s="49">
        <f>E29-E31</f>
        <v>0</v>
      </c>
      <c r="F30" s="49">
        <f>F29-F31</f>
        <v>0</v>
      </c>
      <c r="G30" s="49">
        <f>I30-D30-E30-F30</f>
        <v>-749005.94</v>
      </c>
      <c r="H30" s="36"/>
      <c r="I30" s="42">
        <f>ORÇAMENTO!I89</f>
        <v>-749005.94</v>
      </c>
      <c r="J30" s="25"/>
      <c r="K30" s="25"/>
      <c r="L30" s="25"/>
    </row>
    <row r="31" spans="1:12" ht="24.75" customHeight="1" thickBot="1">
      <c r="A31" s="403" t="s">
        <v>225</v>
      </c>
      <c r="B31" s="404"/>
      <c r="C31" s="34"/>
      <c r="D31" s="49">
        <f>ROUND(D29*0.7,2)</f>
        <v>0</v>
      </c>
      <c r="E31" s="49">
        <f>ROUND(E29*0.7,2)</f>
        <v>0</v>
      </c>
      <c r="F31" s="49">
        <f>ROUND(F29*0.7,2)</f>
        <v>0</v>
      </c>
      <c r="G31" s="49">
        <f>I31-D31-E31-F31</f>
        <v>749005.94</v>
      </c>
      <c r="H31" s="36"/>
      <c r="I31" s="43">
        <f>ORÇAMENTO!H89</f>
        <v>749005.94</v>
      </c>
      <c r="J31" s="25"/>
      <c r="K31" s="25"/>
      <c r="L31" s="25"/>
    </row>
    <row r="32" spans="1:119" s="29" customFormat="1" ht="77.25" customHeight="1" thickBot="1">
      <c r="A32" s="405" t="s">
        <v>65</v>
      </c>
      <c r="B32" s="405"/>
      <c r="C32" s="405"/>
      <c r="D32" s="394">
        <f>D29+E29</f>
        <v>0</v>
      </c>
      <c r="E32" s="395"/>
      <c r="F32" s="394">
        <f>I29-D32-H32</f>
        <v>0</v>
      </c>
      <c r="G32" s="396"/>
      <c r="H32" s="196">
        <f>I29*0.1</f>
        <v>0</v>
      </c>
      <c r="I32" s="44"/>
      <c r="J32" s="28"/>
      <c r="K32" s="28"/>
      <c r="L32" s="28"/>
      <c r="M32" s="28"/>
      <c r="N32" s="28"/>
      <c r="O32" s="28"/>
      <c r="P32" s="28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</row>
    <row r="33" spans="1:12" ht="30" customHeight="1" thickBot="1">
      <c r="A33" s="397" t="s">
        <v>66</v>
      </c>
      <c r="B33" s="397"/>
      <c r="C33" s="398"/>
      <c r="D33" s="392"/>
      <c r="E33" s="393"/>
      <c r="F33" s="392"/>
      <c r="G33" s="393"/>
      <c r="I33" s="45"/>
      <c r="J33" s="25"/>
      <c r="K33" s="25"/>
      <c r="L33" s="25"/>
    </row>
    <row r="34" spans="1:12" ht="28.5" customHeight="1" thickBot="1">
      <c r="A34" s="397" t="s">
        <v>67</v>
      </c>
      <c r="B34" s="397"/>
      <c r="C34" s="398"/>
      <c r="D34" s="392"/>
      <c r="E34" s="393"/>
      <c r="F34" s="392"/>
      <c r="G34" s="393"/>
      <c r="H34" s="115"/>
      <c r="I34" s="46"/>
      <c r="J34" s="25"/>
      <c r="K34" s="25"/>
      <c r="L34" s="25"/>
    </row>
    <row r="35" spans="1:12" ht="19.5" customHeight="1" thickBot="1">
      <c r="A35" s="59"/>
      <c r="B35" s="60"/>
      <c r="C35" s="61"/>
      <c r="D35" s="30"/>
      <c r="E35" s="31"/>
      <c r="F35" s="31"/>
      <c r="G35" s="31"/>
      <c r="H35" s="30"/>
      <c r="I35" s="47"/>
      <c r="J35" s="25"/>
      <c r="K35" s="25"/>
      <c r="L35" s="25"/>
    </row>
    <row r="36" spans="1:12" ht="19.5" customHeight="1">
      <c r="A36" s="399" t="s">
        <v>68</v>
      </c>
      <c r="B36" s="399"/>
      <c r="C36" s="399"/>
      <c r="D36" s="400"/>
      <c r="E36" s="372" t="s">
        <v>69</v>
      </c>
      <c r="F36" s="373"/>
      <c r="G36" s="374"/>
      <c r="H36" s="375"/>
      <c r="I36" s="376"/>
      <c r="J36" s="25"/>
      <c r="K36" s="25"/>
      <c r="L36" s="25"/>
    </row>
    <row r="37" spans="1:9" s="33" customFormat="1" ht="19.5" customHeight="1">
      <c r="A37" s="32" t="s">
        <v>70</v>
      </c>
      <c r="B37" s="368" t="s">
        <v>173</v>
      </c>
      <c r="C37" s="368"/>
      <c r="D37" s="368"/>
      <c r="E37" s="110" t="s">
        <v>71</v>
      </c>
      <c r="F37" s="368" t="s">
        <v>291</v>
      </c>
      <c r="G37" s="369"/>
      <c r="H37" s="370"/>
      <c r="I37" s="371"/>
    </row>
    <row r="38" spans="1:11" s="33" customFormat="1" ht="19.5" customHeight="1">
      <c r="A38" s="389" t="s">
        <v>72</v>
      </c>
      <c r="B38" s="389"/>
      <c r="C38" s="390" t="s">
        <v>174</v>
      </c>
      <c r="D38" s="391"/>
      <c r="E38" s="111" t="s">
        <v>292</v>
      </c>
      <c r="F38" s="109"/>
      <c r="G38" s="112" t="s">
        <v>293</v>
      </c>
      <c r="H38" s="370"/>
      <c r="I38" s="371"/>
      <c r="J38" s="139"/>
      <c r="K38" s="139"/>
    </row>
    <row r="39" spans="1:9" s="33" customFormat="1" ht="43.5" customHeight="1" thickBot="1">
      <c r="A39" s="384"/>
      <c r="B39" s="384"/>
      <c r="C39" s="384"/>
      <c r="D39" s="385"/>
      <c r="E39" s="386" t="s">
        <v>73</v>
      </c>
      <c r="F39" s="387"/>
      <c r="G39" s="388"/>
      <c r="H39" s="361"/>
      <c r="I39" s="362"/>
    </row>
    <row r="40" spans="1:9" s="33" customFormat="1" ht="27.75" customHeight="1" thickBot="1">
      <c r="A40" s="384"/>
      <c r="B40" s="384"/>
      <c r="C40" s="384"/>
      <c r="D40" s="385"/>
      <c r="E40" s="363" t="s">
        <v>74</v>
      </c>
      <c r="F40" s="364"/>
      <c r="G40" s="365"/>
      <c r="H40" s="366"/>
      <c r="I40" s="367"/>
    </row>
    <row r="41" spans="1:9" s="33" customFormat="1" ht="21" customHeight="1">
      <c r="A41" s="384"/>
      <c r="B41" s="384"/>
      <c r="C41" s="384"/>
      <c r="D41" s="385"/>
      <c r="E41" s="113" t="s">
        <v>75</v>
      </c>
      <c r="F41" s="368"/>
      <c r="G41" s="369"/>
      <c r="H41" s="366"/>
      <c r="I41" s="367"/>
    </row>
    <row r="42" spans="1:12" ht="21" customHeight="1">
      <c r="A42" s="384"/>
      <c r="B42" s="384"/>
      <c r="C42" s="384"/>
      <c r="D42" s="385"/>
      <c r="E42" s="111" t="s">
        <v>76</v>
      </c>
      <c r="F42" s="109"/>
      <c r="G42" s="114" t="s">
        <v>77</v>
      </c>
      <c r="H42" s="370"/>
      <c r="I42" s="371"/>
      <c r="J42" s="25"/>
      <c r="K42" s="25"/>
      <c r="L42" s="25"/>
    </row>
    <row r="43" spans="1:12" ht="27" customHeight="1" thickBot="1">
      <c r="A43" s="377" t="s">
        <v>73</v>
      </c>
      <c r="B43" s="377"/>
      <c r="C43" s="377"/>
      <c r="D43" s="378"/>
      <c r="E43" s="379" t="s">
        <v>73</v>
      </c>
      <c r="F43" s="380"/>
      <c r="G43" s="381"/>
      <c r="H43" s="382"/>
      <c r="I43" s="383"/>
      <c r="J43" s="25"/>
      <c r="K43" s="25"/>
      <c r="L43" s="25"/>
    </row>
    <row r="44" ht="18" customHeight="1">
      <c r="A44" s="21"/>
    </row>
    <row r="45" spans="1:9" ht="15">
      <c r="A45" s="20"/>
      <c r="I45" s="70"/>
    </row>
    <row r="49" ht="25.5" customHeight="1"/>
  </sheetData>
  <sheetProtection selectLockedCells="1" selectUnlockedCells="1"/>
  <mergeCells count="98">
    <mergeCell ref="A25:A26"/>
    <mergeCell ref="B25:B26"/>
    <mergeCell ref="C25:C26"/>
    <mergeCell ref="H25:H26"/>
    <mergeCell ref="I25:I26"/>
    <mergeCell ref="A1:B1"/>
    <mergeCell ref="C1:F1"/>
    <mergeCell ref="A2:B2"/>
    <mergeCell ref="C2:D2"/>
    <mergeCell ref="E2:G2"/>
    <mergeCell ref="A3:B3"/>
    <mergeCell ref="I7:I8"/>
    <mergeCell ref="A11:A12"/>
    <mergeCell ref="H11:H12"/>
    <mergeCell ref="B7:B8"/>
    <mergeCell ref="C7:C8"/>
    <mergeCell ref="H7:H8"/>
    <mergeCell ref="C15:C16"/>
    <mergeCell ref="H15:H16"/>
    <mergeCell ref="C3:D3"/>
    <mergeCell ref="E3:G3"/>
    <mergeCell ref="I11:I12"/>
    <mergeCell ref="A5:A6"/>
    <mergeCell ref="D5:G5"/>
    <mergeCell ref="H5:H6"/>
    <mergeCell ref="I5:I6"/>
    <mergeCell ref="A7:A8"/>
    <mergeCell ref="I15:I16"/>
    <mergeCell ref="A9:A10"/>
    <mergeCell ref="B9:B10"/>
    <mergeCell ref="C9:C10"/>
    <mergeCell ref="H9:H10"/>
    <mergeCell ref="I9:I10"/>
    <mergeCell ref="B11:B12"/>
    <mergeCell ref="C11:C12"/>
    <mergeCell ref="A15:A16"/>
    <mergeCell ref="B15:B16"/>
    <mergeCell ref="A17:A18"/>
    <mergeCell ref="B17:B18"/>
    <mergeCell ref="C17:C18"/>
    <mergeCell ref="H17:H18"/>
    <mergeCell ref="I17:I18"/>
    <mergeCell ref="A13:A14"/>
    <mergeCell ref="B13:B14"/>
    <mergeCell ref="C13:C14"/>
    <mergeCell ref="H13:H14"/>
    <mergeCell ref="I13:I14"/>
    <mergeCell ref="A19:A20"/>
    <mergeCell ref="B19:B20"/>
    <mergeCell ref="C19:C20"/>
    <mergeCell ref="H19:H20"/>
    <mergeCell ref="I19:I20"/>
    <mergeCell ref="A21:A22"/>
    <mergeCell ref="B21:B22"/>
    <mergeCell ref="C21:C22"/>
    <mergeCell ref="H21:H22"/>
    <mergeCell ref="I21:I22"/>
    <mergeCell ref="A23:A24"/>
    <mergeCell ref="B23:B24"/>
    <mergeCell ref="C23:C24"/>
    <mergeCell ref="H23:H24"/>
    <mergeCell ref="I23:I24"/>
    <mergeCell ref="A27:A28"/>
    <mergeCell ref="B27:B28"/>
    <mergeCell ref="C27:C28"/>
    <mergeCell ref="H27:H28"/>
    <mergeCell ref="I27:I28"/>
    <mergeCell ref="A36:D36"/>
    <mergeCell ref="A29:B29"/>
    <mergeCell ref="A30:B30"/>
    <mergeCell ref="A31:B31"/>
    <mergeCell ref="A32:C32"/>
    <mergeCell ref="A33:C33"/>
    <mergeCell ref="D33:E33"/>
    <mergeCell ref="F33:G33"/>
    <mergeCell ref="D32:E32"/>
    <mergeCell ref="F32:G32"/>
    <mergeCell ref="A34:C34"/>
    <mergeCell ref="D34:E34"/>
    <mergeCell ref="F34:G34"/>
    <mergeCell ref="B37:D37"/>
    <mergeCell ref="F37:G37"/>
    <mergeCell ref="H37:I37"/>
    <mergeCell ref="A43:D43"/>
    <mergeCell ref="E43:G43"/>
    <mergeCell ref="H43:I43"/>
    <mergeCell ref="A39:D42"/>
    <mergeCell ref="E39:G39"/>
    <mergeCell ref="A38:B38"/>
    <mergeCell ref="C38:D38"/>
    <mergeCell ref="H39:I39"/>
    <mergeCell ref="E40:G40"/>
    <mergeCell ref="H40:I41"/>
    <mergeCell ref="F41:G41"/>
    <mergeCell ref="H42:I42"/>
    <mergeCell ref="E36:G36"/>
    <mergeCell ref="H36:I36"/>
    <mergeCell ref="H38:I38"/>
  </mergeCells>
  <printOptions horizontalCentered="1" verticalCentered="1"/>
  <pageMargins left="0.3937007874015748" right="0.3937007874015748" top="0.4330708661417323" bottom="0.4724409448818898" header="0.5118110236220472" footer="0.5118110236220472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app01</dc:creator>
  <cp:keywords/>
  <dc:description/>
  <cp:lastModifiedBy>licitacao003</cp:lastModifiedBy>
  <cp:lastPrinted>2023-12-06T11:30:29Z</cp:lastPrinted>
  <dcterms:created xsi:type="dcterms:W3CDTF">2015-01-30T12:54:22Z</dcterms:created>
  <dcterms:modified xsi:type="dcterms:W3CDTF">2024-05-17T13:05:19Z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